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2.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3.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4.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5.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6.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7.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8.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9.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0.xml" ContentType="application/vnd.openxmlformats-officedocument.themeOverrid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1.xml" ContentType="application/vnd.openxmlformats-officedocument.themeOverrid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2.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3.xml" ContentType="application/vnd.openxmlformats-officedocument.themeOverrid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14.xml" ContentType="application/vnd.openxmlformats-officedocument.themeOverrid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15.xml" ContentType="application/vnd.openxmlformats-officedocument.themeOverrid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16.xml" ContentType="application/vnd.openxmlformats-officedocument.themeOverride+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charts/chart30.xml" ContentType="application/vnd.openxmlformats-officedocument.drawingml.chart+xml"/>
  <Override PartName="/xl/charts/style28.xml" ContentType="application/vnd.ms-office.chartstyle+xml"/>
  <Override PartName="/xl/charts/colors28.xml" ContentType="application/vnd.ms-office.chartcolorstyle+xml"/>
  <Override PartName="/xl/charts/chart31.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17.xml" ContentType="application/vnd.openxmlformats-officedocument.themeOverride+xml"/>
  <Override PartName="/xl/charts/chart32.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18.xml" ContentType="application/vnd.openxmlformats-officedocument.themeOverride+xml"/>
  <Override PartName="/xl/charts/chart33.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19.xml" ContentType="application/vnd.openxmlformats-officedocument.themeOverride+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20.xml" ContentType="application/vnd.openxmlformats-officedocument.themeOverride+xml"/>
  <Override PartName="/xl/charts/chart37.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21.xml" ContentType="application/vnd.openxmlformats-officedocument.themeOverride+xml"/>
  <Override PartName="/xl/charts/chart38.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22.xml" ContentType="application/vnd.openxmlformats-officedocument.themeOverride+xml"/>
  <Override PartName="/xl/charts/chart39.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23.xml" ContentType="application/vnd.openxmlformats-officedocument.themeOverride+xml"/>
  <Override PartName="/xl/charts/chart40.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24.xml" ContentType="application/vnd.openxmlformats-officedocument.themeOverride+xml"/>
  <Override PartName="/xl/drawings/drawing6.xml" ContentType="application/vnd.openxmlformats-officedocument.drawing+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DieseArbeitsmappe" defaultThemeVersion="166925"/>
  <mc:AlternateContent xmlns:mc="http://schemas.openxmlformats.org/markup-compatibility/2006">
    <mc:Choice Requires="x15">
      <x15ac:absPath xmlns:x15ac="http://schemas.microsoft.com/office/spreadsheetml/2010/11/ac" url="K:\13_Projekte\2023_MWK BW_Bilanzierungsstandards Kultur\04_Tool und Leitfaden\01_Tool\Tool 2026\"/>
    </mc:Choice>
  </mc:AlternateContent>
  <xr:revisionPtr revIDLastSave="0" documentId="13_ncr:1_{D21EAB50-8CFC-485C-AC25-C8E8109E4221}" xr6:coauthVersionLast="47" xr6:coauthVersionMax="47" xr10:uidLastSave="{00000000-0000-0000-0000-000000000000}"/>
  <workbookProtection workbookAlgorithmName="SHA-512" workbookHashValue="ur4alwGF/oXQ1AoltSBlO1+Ei0x6YhCVvYGflPEjjvUyDqbRSSOcT64MSWi2xp/UdMY3d/W2EDbQJT+LTq8CAQ==" workbookSaltValue="sNl8xfJ/TH8S5i53o1nguw==" workbookSpinCount="100000" lockStructure="1"/>
  <bookViews>
    <workbookView xWindow="28680" yWindow="-120" windowWidth="29040" windowHeight="15720" tabRatio="743" xr2:uid="{FC75B23F-90E0-430C-A950-2600F699F9D7}"/>
  </bookViews>
  <sheets>
    <sheet name="Anleitung" sheetId="1" r:id="rId1"/>
    <sheet name="Stammdaten" sheetId="3" r:id="rId2"/>
    <sheet name="Gliederung der Bilanz" sheetId="10" r:id="rId3"/>
    <sheet name="Daten KlimaBilanzKultur" sheetId="15" r:id="rId4"/>
    <sheet name="Daten KlimaBilanzKultur+" sheetId="16" r:id="rId5"/>
    <sheet name="Daten Beyond Carbon" sheetId="23" r:id="rId6"/>
    <sheet name="Ergebnisse" sheetId="26" r:id="rId7"/>
    <sheet name="Zertifikat" sheetId="30" r:id="rId8"/>
    <sheet name="Emissionsfaktoren" sheetId="14" r:id="rId9"/>
    <sheet name="EF_Änderungen" sheetId="28" r:id="rId10"/>
    <sheet name="Dropdowns" sheetId="12" state="hidden" r:id="rId11"/>
  </sheets>
  <definedNames>
    <definedName name="_xlnm._FilterDatabase" localSheetId="10" hidden="1">Dropdowns!#REF!</definedName>
    <definedName name="_xlnm._FilterDatabase" localSheetId="8" hidden="1">Emissionsfaktoren!$AM$50:$AP$93</definedName>
    <definedName name="Bez_Anreise_der_Besuchenden">'Daten KlimaBilanzKultur+'!$B$22</definedName>
    <definedName name="Bez_Druck_und_Werbematerialien">'Daten Beyond Carbon'!$B$49</definedName>
    <definedName name="Bez_Externe">'Daten KlimaBilanzKultur'!$B$191</definedName>
    <definedName name="Bez_Fuhrpark">'Daten KlimaBilanzKultur'!$B$110</definedName>
    <definedName name="Bez_Geschäftsreisen">'Daten KlimaBilanzKultur'!$B$137</definedName>
    <definedName name="Bez_IT">'Daten KlimaBilanzKultur+'!$B$76</definedName>
    <definedName name="Bez_Kühl_und_Kältemittel">'Daten KlimaBilanzKultur'!$B$83:$B$102</definedName>
    <definedName name="Bez_Medien">'Daten KlimaBilanzKultur+'!$B$49</definedName>
    <definedName name="Bez_Papier">'Daten Beyond Carbon'!$B$22</definedName>
    <definedName name="Bez_Pendeln">'Daten KlimaBilanzKultur'!$B$164</definedName>
    <definedName name="Bez_Relevante_Stoffströme">'Daten KlimaBilanzKultur+'!$B$103</definedName>
    <definedName name="Bez_Strom">'Daten KlimaBilanzKultur'!$B$56:$B$75</definedName>
    <definedName name="Bez_Verpackung">'Daten Beyond Carbon'!$B$76</definedName>
    <definedName name="Bez_Warentransporte">'Daten KlimaBilanzKultur'!$B$218</definedName>
    <definedName name="Bez_Wärme">'Daten KlimaBilanzKultur'!$B$29:$B$48</definedName>
    <definedName name="Bez_Wasser">'Daten Beyond Carbon'!$B$103</definedName>
    <definedName name="DD_Anreise_Besuchende">OFFSET(EFs_Besuchende[Bezeichnung],0,0,COUNTA(EFs_Besuchende[Bezeichnung]))</definedName>
    <definedName name="DD_Bücher_CDs_DVDs">OFFSET(EFs_Medien[Bezeichnung],0,0,COUNTA(EFs_Medien[Bezeichnung]))</definedName>
    <definedName name="DD_Externe">OFFSET(EFs_Externe[Bezeichnung],0,0,COUNTA(EFs_Externe[Bezeichnung]))</definedName>
    <definedName name="DD_Fuhrpark">OFFSET(EFs_Fuhrpark[Bezeichnung],0,0,COUNTA(EFs_Fuhrpark[Bezeichnung]))</definedName>
    <definedName name="DD_Geschäftsreisen">OFFSET(EFs_Geschäftsreisen[Bezeichnung],0,0,COUNTA(EFs_Geschäftsreisen[Bezeichnung]))</definedName>
    <definedName name="DD_IT_Dienstleistungen">OFFSET(EFs_IT[Bezeichnung],0,0,COUNTA(EFs_IT[Bezeichnung]))</definedName>
    <definedName name="DD_Kühl_und_Kältemittel">OFFSET(EFs_Kühlmittel[Bezeichnung],0,0,COUNTA(EFs_Kühlmittel[Bezeichnung]))</definedName>
    <definedName name="DD_Pendeln_Mitarbeitende">OFFSET(EFs_Pendeln[Bezeichnung],0,0,COUNTA(EFs_Pendeln[Bezeichnung]))</definedName>
    <definedName name="DD_Relevante_Stoffströme">OFFSET(EFs_3135[Bezeichnung],0,0,COUNTA(EFs_3135[Bezeichnung]))</definedName>
    <definedName name="DD_Strom">OFFSET(EFs_Strom[Bezeichnung],0,0,COUNTA(EFs_Strom[Bezeichnung]))</definedName>
    <definedName name="DD_Thema">Sektor_Thema[Thema_]</definedName>
    <definedName name="DD_Thema_2">Dropdowns!$N$3:$N$15</definedName>
    <definedName name="DD_Warentransporte">OFFSET(EFs_Warentransporte[Bezeichnung],0,0,COUNTA(EFs_Warentransporte[Bezeichnung]))</definedName>
    <definedName name="DD_Wärme">OFFSET(EFs_Wärme[Bezeichnung],0,0,COUNTA(EFs_Wärme[Bezeichnung]))</definedName>
    <definedName name="DD_Weitere_Emissionsquellen">OFFSET(#REF!,0,0,COUNTA(#REF!))</definedName>
    <definedName name="_xlnm.Print_Area" localSheetId="7">Zertifikat!$B$7:$U$46</definedName>
    <definedName name="Gliederungselemente">'Gliederung der Bilanz'!$C$10:INDEX('Gliederung der Bilanz'!$C$10:$C$31,COUNTA('Gliederung der Bilanz'!$C$10:$C$31))</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16" l="1"/>
  <c r="M33" i="16"/>
  <c r="M34" i="16"/>
  <c r="M35" i="16"/>
  <c r="M36" i="16"/>
  <c r="M37" i="16"/>
  <c r="M38" i="16"/>
  <c r="M39" i="16"/>
  <c r="M40" i="16"/>
  <c r="M41" i="16"/>
  <c r="L232" i="15"/>
  <c r="L233" i="15"/>
  <c r="L234" i="15"/>
  <c r="L235" i="15"/>
  <c r="L236" i="15"/>
  <c r="L237" i="15"/>
  <c r="M192" i="15"/>
  <c r="M193" i="15"/>
  <c r="M194" i="15"/>
  <c r="M195" i="15"/>
  <c r="M196" i="15"/>
  <c r="M197" i="15"/>
  <c r="M198" i="15"/>
  <c r="M199" i="15"/>
  <c r="M200" i="15"/>
  <c r="M201" i="15"/>
  <c r="M203" i="15"/>
  <c r="M204" i="15"/>
  <c r="M205" i="15"/>
  <c r="M206" i="15"/>
  <c r="M207" i="15"/>
  <c r="M208" i="15"/>
  <c r="M209" i="15"/>
  <c r="M210" i="15"/>
  <c r="M141" i="15"/>
  <c r="M142" i="15"/>
  <c r="M144" i="15"/>
  <c r="M145" i="15"/>
  <c r="M146" i="15"/>
  <c r="M147" i="15"/>
  <c r="M148" i="15"/>
  <c r="M149" i="15"/>
  <c r="M150" i="15"/>
  <c r="M151" i="15"/>
  <c r="M152" i="15"/>
  <c r="M153" i="15"/>
  <c r="M154" i="15"/>
  <c r="M155" i="15"/>
  <c r="M156" i="15"/>
  <c r="M110" i="15"/>
  <c r="M111" i="15"/>
  <c r="M112" i="15"/>
  <c r="M113" i="15"/>
  <c r="M115" i="15"/>
  <c r="M116" i="15"/>
  <c r="M117" i="15"/>
  <c r="M118" i="15"/>
  <c r="M119" i="15"/>
  <c r="M120" i="15"/>
  <c r="M121" i="15"/>
  <c r="M122" i="15"/>
  <c r="M123" i="15"/>
  <c r="M124" i="15"/>
  <c r="M125" i="15"/>
  <c r="M126" i="15"/>
  <c r="M127" i="15"/>
  <c r="M128" i="15"/>
  <c r="M129" i="15"/>
  <c r="M57" i="15"/>
  <c r="M58" i="15"/>
  <c r="M59" i="15"/>
  <c r="M60" i="15"/>
  <c r="M61" i="15"/>
  <c r="M62" i="15"/>
  <c r="M63" i="15"/>
  <c r="M64" i="15"/>
  <c r="M65" i="15"/>
  <c r="M66" i="15"/>
  <c r="M67" i="15"/>
  <c r="M68" i="15"/>
  <c r="M69" i="15"/>
  <c r="M70" i="15"/>
  <c r="M71" i="15"/>
  <c r="M72" i="15"/>
  <c r="M73" i="15"/>
  <c r="M74" i="15"/>
  <c r="M75" i="15"/>
  <c r="Q140" i="14"/>
  <c r="P140" i="14"/>
  <c r="Q139" i="14"/>
  <c r="P139" i="14"/>
  <c r="Q138" i="14"/>
  <c r="P138" i="14"/>
  <c r="Q137" i="14"/>
  <c r="P137" i="14"/>
  <c r="Q136" i="14"/>
  <c r="P136" i="14"/>
  <c r="Q135" i="14"/>
  <c r="P135" i="14"/>
  <c r="Q134" i="14"/>
  <c r="P134" i="14"/>
  <c r="Q133" i="14"/>
  <c r="P133" i="14"/>
  <c r="Q132" i="14"/>
  <c r="P132" i="14"/>
  <c r="Q131" i="14"/>
  <c r="P131" i="14"/>
  <c r="Q130" i="14"/>
  <c r="P130" i="14"/>
  <c r="Q129" i="14"/>
  <c r="P129" i="14"/>
  <c r="Q128" i="14"/>
  <c r="P128" i="14"/>
  <c r="Q127" i="14"/>
  <c r="P127" i="14"/>
  <c r="Q126" i="14"/>
  <c r="P126" i="14"/>
  <c r="Q125" i="14"/>
  <c r="P125" i="14"/>
  <c r="Q124" i="14"/>
  <c r="P124" i="14"/>
  <c r="Q123" i="14"/>
  <c r="P123" i="14"/>
  <c r="R124" i="14"/>
  <c r="R125" i="14"/>
  <c r="R126" i="14"/>
  <c r="R127" i="14"/>
  <c r="R128" i="14"/>
  <c r="R129" i="14"/>
  <c r="R130" i="14"/>
  <c r="R131" i="14"/>
  <c r="R132" i="14"/>
  <c r="R133" i="14"/>
  <c r="R134" i="14"/>
  <c r="R135" i="14"/>
  <c r="R136" i="14"/>
  <c r="R137" i="14"/>
  <c r="R138" i="14"/>
  <c r="R139" i="14"/>
  <c r="R140" i="14"/>
  <c r="R123" i="14"/>
  <c r="P153" i="14"/>
  <c r="Q153" i="14"/>
  <c r="R153" i="14"/>
  <c r="P154" i="14"/>
  <c r="Q154" i="14"/>
  <c r="R154" i="14"/>
  <c r="P155" i="14"/>
  <c r="Q155" i="14"/>
  <c r="R155" i="14"/>
  <c r="P156" i="14"/>
  <c r="Q156" i="14"/>
  <c r="R156" i="14"/>
  <c r="P157" i="14"/>
  <c r="Q157" i="14"/>
  <c r="R157" i="14"/>
  <c r="P158" i="14"/>
  <c r="Q158" i="14"/>
  <c r="R158" i="14"/>
  <c r="P159" i="14"/>
  <c r="Q159" i="14"/>
  <c r="R159" i="14"/>
  <c r="P160" i="14"/>
  <c r="Q160" i="14"/>
  <c r="R160" i="14"/>
  <c r="AE153" i="26" l="1"/>
  <c r="AE229" i="26"/>
  <c r="AE242" i="26"/>
  <c r="AE241" i="26"/>
  <c r="AE236" i="26"/>
  <c r="AE234" i="26" s="1"/>
  <c r="AE231" i="26"/>
  <c r="AE230" i="26"/>
  <c r="AE228" i="26"/>
  <c r="AE227" i="26"/>
  <c r="AE226" i="26"/>
  <c r="AE225" i="26"/>
  <c r="AE224" i="26"/>
  <c r="AE124" i="26"/>
  <c r="AE125" i="26"/>
  <c r="AE119" i="26"/>
  <c r="AE117" i="26" s="1"/>
  <c r="AE114" i="26"/>
  <c r="AE113" i="26"/>
  <c r="AE112" i="26"/>
  <c r="AE111" i="26"/>
  <c r="AE110" i="26"/>
  <c r="AE109" i="26"/>
  <c r="AE108" i="26"/>
  <c r="AE107" i="26"/>
  <c r="D242" i="26"/>
  <c r="D241" i="26"/>
  <c r="D236" i="26"/>
  <c r="D231" i="26"/>
  <c r="D230" i="26"/>
  <c r="D229" i="26"/>
  <c r="D228" i="26"/>
  <c r="D227" i="26"/>
  <c r="D226" i="26"/>
  <c r="D225" i="26"/>
  <c r="D224" i="26"/>
  <c r="D125" i="26"/>
  <c r="D124" i="26"/>
  <c r="D119" i="26"/>
  <c r="D114" i="26"/>
  <c r="D113" i="26"/>
  <c r="D112" i="26"/>
  <c r="D111" i="26"/>
  <c r="D110" i="26"/>
  <c r="D109" i="26"/>
  <c r="D108" i="26"/>
  <c r="D107" i="26"/>
  <c r="AE122" i="26" l="1"/>
  <c r="AE105" i="26" a="1"/>
  <c r="AE105" i="26" s="1"/>
  <c r="AE239" i="26"/>
  <c r="AE222" i="26"/>
  <c r="C47" i="15"/>
  <c r="L47" i="15"/>
  <c r="O47" i="15"/>
  <c r="P47" i="15"/>
  <c r="BE47" i="15"/>
  <c r="BF47" i="15"/>
  <c r="BG47" i="15"/>
  <c r="BH47" i="15"/>
  <c r="BI47" i="15"/>
  <c r="BJ47" i="15"/>
  <c r="BK47" i="15"/>
  <c r="BL47" i="15"/>
  <c r="BM47" i="15"/>
  <c r="BN47" i="15"/>
  <c r="BO47" i="15"/>
  <c r="BP47" i="15"/>
  <c r="BQ47" i="15"/>
  <c r="BR47" i="15"/>
  <c r="BS47" i="15"/>
  <c r="BT47" i="15"/>
  <c r="O164" i="15"/>
  <c r="A379" i="14"/>
  <c r="A378" i="14"/>
  <c r="A377" i="14"/>
  <c r="A376" i="14"/>
  <c r="A375" i="14"/>
  <c r="A374" i="14"/>
  <c r="A373" i="14"/>
  <c r="A372" i="14"/>
  <c r="A371" i="14"/>
  <c r="A370" i="14"/>
  <c r="G24" i="26"/>
  <c r="D214" i="14"/>
  <c r="C214" i="14" s="1"/>
  <c r="O214" i="14"/>
  <c r="P214" i="14"/>
  <c r="Q214" i="14"/>
  <c r="D140" i="14"/>
  <c r="C140" i="14" s="1"/>
  <c r="P286" i="14"/>
  <c r="Q286" i="14"/>
  <c r="P287" i="14"/>
  <c r="Q287" i="14"/>
  <c r="P288" i="14"/>
  <c r="Q288" i="14"/>
  <c r="P289" i="14"/>
  <c r="Q289" i="14"/>
  <c r="P290" i="14"/>
  <c r="Q290" i="14"/>
  <c r="P291" i="14"/>
  <c r="Q291" i="14"/>
  <c r="P292" i="14"/>
  <c r="Q292" i="14"/>
  <c r="P293" i="14"/>
  <c r="Q293" i="14"/>
  <c r="P294" i="14"/>
  <c r="Q294" i="14"/>
  <c r="P295" i="14"/>
  <c r="Q295" i="14"/>
  <c r="P296" i="14"/>
  <c r="Q296" i="14"/>
  <c r="P297" i="14"/>
  <c r="Q297" i="14"/>
  <c r="P298" i="14"/>
  <c r="Q298" i="14"/>
  <c r="P299" i="14"/>
  <c r="Q299" i="14"/>
  <c r="P300" i="14"/>
  <c r="Q300" i="14"/>
  <c r="P301" i="14"/>
  <c r="Q301" i="14"/>
  <c r="P302" i="14"/>
  <c r="Q302" i="14"/>
  <c r="P303" i="14"/>
  <c r="Q303" i="14"/>
  <c r="P304" i="14"/>
  <c r="Q304" i="14"/>
  <c r="P305" i="14"/>
  <c r="Q305" i="14"/>
  <c r="P306" i="14"/>
  <c r="Q306" i="14"/>
  <c r="P307" i="14"/>
  <c r="Q307" i="14"/>
  <c r="N271" i="14"/>
  <c r="O271" i="14"/>
  <c r="P271" i="14"/>
  <c r="N272" i="14"/>
  <c r="O272" i="14"/>
  <c r="P272" i="14"/>
  <c r="P245" i="14"/>
  <c r="Q245" i="14"/>
  <c r="R245" i="14"/>
  <c r="P246" i="14"/>
  <c r="Q246" i="14"/>
  <c r="R246" i="14"/>
  <c r="P247" i="14"/>
  <c r="Q247" i="14"/>
  <c r="R247" i="14"/>
  <c r="P248" i="14"/>
  <c r="Q248" i="14"/>
  <c r="R248" i="14"/>
  <c r="P249" i="14"/>
  <c r="Q249" i="14"/>
  <c r="R249" i="14"/>
  <c r="P250" i="14"/>
  <c r="Q250" i="14"/>
  <c r="R250" i="14"/>
  <c r="P251" i="14"/>
  <c r="Q251" i="14"/>
  <c r="R251" i="14"/>
  <c r="P252" i="14"/>
  <c r="Q252" i="14"/>
  <c r="R252" i="14"/>
  <c r="P253" i="14"/>
  <c r="Q253" i="14"/>
  <c r="R253" i="14"/>
  <c r="P254" i="14"/>
  <c r="Q254" i="14"/>
  <c r="R254" i="14"/>
  <c r="P255" i="14"/>
  <c r="Q255" i="14"/>
  <c r="R255" i="14"/>
  <c r="P256" i="14"/>
  <c r="Q256" i="14"/>
  <c r="R256" i="14"/>
  <c r="P257" i="14"/>
  <c r="Q257" i="14"/>
  <c r="R257" i="14"/>
  <c r="P258" i="14"/>
  <c r="Q258" i="14"/>
  <c r="R258" i="14"/>
  <c r="N227" i="14"/>
  <c r="O227" i="14"/>
  <c r="P227" i="14"/>
  <c r="N228" i="14"/>
  <c r="O228" i="14"/>
  <c r="P228" i="14"/>
  <c r="N229" i="14"/>
  <c r="O229" i="14"/>
  <c r="P229" i="14"/>
  <c r="N230" i="14"/>
  <c r="O230" i="14"/>
  <c r="P230" i="14"/>
  <c r="N231" i="14"/>
  <c r="O231" i="14"/>
  <c r="P231" i="14"/>
  <c r="N232" i="14"/>
  <c r="O232" i="14"/>
  <c r="P232" i="14"/>
  <c r="O200" i="14"/>
  <c r="P200" i="14"/>
  <c r="Q200" i="14"/>
  <c r="O201" i="14"/>
  <c r="P201" i="14"/>
  <c r="Q201" i="14"/>
  <c r="O202" i="14"/>
  <c r="P202" i="14"/>
  <c r="Q202" i="14"/>
  <c r="O203" i="14"/>
  <c r="P203" i="14"/>
  <c r="Q203" i="14"/>
  <c r="O204" i="14"/>
  <c r="P204" i="14"/>
  <c r="Q204" i="14"/>
  <c r="O205" i="14"/>
  <c r="P205" i="14"/>
  <c r="Q205" i="14"/>
  <c r="O206" i="14"/>
  <c r="P206" i="14"/>
  <c r="Q206" i="14"/>
  <c r="O207" i="14"/>
  <c r="P207" i="14"/>
  <c r="Q207" i="14"/>
  <c r="O208" i="14"/>
  <c r="P208" i="14"/>
  <c r="Q208" i="14"/>
  <c r="O209" i="14"/>
  <c r="P209" i="14"/>
  <c r="Q209" i="14"/>
  <c r="O210" i="14"/>
  <c r="P210" i="14"/>
  <c r="Q210" i="14"/>
  <c r="O211" i="14"/>
  <c r="P211" i="14"/>
  <c r="Q211" i="14"/>
  <c r="O212" i="14"/>
  <c r="P212" i="14"/>
  <c r="Q212" i="14"/>
  <c r="O213" i="14"/>
  <c r="P213" i="14"/>
  <c r="Q213" i="14"/>
  <c r="P173" i="14"/>
  <c r="Q173" i="14"/>
  <c r="R173" i="14"/>
  <c r="P174" i="14"/>
  <c r="Q174" i="14"/>
  <c r="R174" i="14"/>
  <c r="P175" i="14"/>
  <c r="Q175" i="14"/>
  <c r="R175" i="14"/>
  <c r="P176" i="14"/>
  <c r="Q176" i="14"/>
  <c r="R176" i="14"/>
  <c r="P177" i="14"/>
  <c r="Q177" i="14"/>
  <c r="R177" i="14"/>
  <c r="P178" i="14"/>
  <c r="Q178" i="14"/>
  <c r="R178" i="14"/>
  <c r="P179" i="14"/>
  <c r="Q179" i="14"/>
  <c r="R179" i="14"/>
  <c r="P180" i="14"/>
  <c r="Q180" i="14"/>
  <c r="R180" i="14"/>
  <c r="P181" i="14"/>
  <c r="Q181" i="14"/>
  <c r="R181" i="14"/>
  <c r="P182" i="14"/>
  <c r="Q182" i="14"/>
  <c r="R182" i="14"/>
  <c r="P183" i="14"/>
  <c r="Q183" i="14"/>
  <c r="R183" i="14"/>
  <c r="P184" i="14"/>
  <c r="Q184" i="14"/>
  <c r="R184" i="14"/>
  <c r="P185" i="14"/>
  <c r="Q185" i="14"/>
  <c r="R185" i="14"/>
  <c r="P186" i="14"/>
  <c r="Q186" i="14"/>
  <c r="R186" i="14"/>
  <c r="AF50" i="14"/>
  <c r="AG50" i="14"/>
  <c r="AF51" i="14"/>
  <c r="AG51" i="14"/>
  <c r="AF52" i="14"/>
  <c r="AG52" i="14"/>
  <c r="AF53" i="14"/>
  <c r="AG53" i="14"/>
  <c r="AF54" i="14"/>
  <c r="AG54" i="14"/>
  <c r="AF55" i="14"/>
  <c r="AG55" i="14"/>
  <c r="AF56" i="14"/>
  <c r="AG56" i="14"/>
  <c r="AF57" i="14"/>
  <c r="AG57" i="14"/>
  <c r="AF58" i="14"/>
  <c r="AG58" i="14"/>
  <c r="AF59" i="14"/>
  <c r="AG59" i="14"/>
  <c r="AF60" i="14"/>
  <c r="AG60" i="14"/>
  <c r="AF61" i="14"/>
  <c r="AG61" i="14"/>
  <c r="AF62" i="14"/>
  <c r="AG62" i="14"/>
  <c r="AF63" i="14"/>
  <c r="AG63" i="14"/>
  <c r="AF64" i="14"/>
  <c r="AG64" i="14"/>
  <c r="AF65" i="14"/>
  <c r="AG65" i="14"/>
  <c r="AF66" i="14"/>
  <c r="AG66" i="14"/>
  <c r="AF67" i="14"/>
  <c r="AG67" i="14"/>
  <c r="AF68" i="14"/>
  <c r="AG68" i="14"/>
  <c r="AF69" i="14"/>
  <c r="AG69" i="14"/>
  <c r="AF70" i="14"/>
  <c r="AG70" i="14"/>
  <c r="AF71" i="14"/>
  <c r="AG71" i="14"/>
  <c r="AF72" i="14"/>
  <c r="AG72" i="14"/>
  <c r="AF73" i="14"/>
  <c r="AG73" i="14"/>
  <c r="AF74" i="14"/>
  <c r="AG74" i="14"/>
  <c r="AF75" i="14"/>
  <c r="AG75" i="14"/>
  <c r="AF76" i="14"/>
  <c r="AG76" i="14"/>
  <c r="AF77" i="14"/>
  <c r="AG77" i="14"/>
  <c r="AF78" i="14"/>
  <c r="AG78" i="14"/>
  <c r="AF79" i="14"/>
  <c r="AG79" i="14"/>
  <c r="AF80" i="14"/>
  <c r="AG80" i="14"/>
  <c r="AF81" i="14"/>
  <c r="AG81" i="14"/>
  <c r="AF82" i="14"/>
  <c r="AG82" i="14"/>
  <c r="AF83" i="14"/>
  <c r="AG83" i="14"/>
  <c r="AF84" i="14"/>
  <c r="AG84" i="14"/>
  <c r="AF85" i="14"/>
  <c r="AG85" i="14"/>
  <c r="AF86" i="14"/>
  <c r="AG86" i="14"/>
  <c r="AF87" i="14"/>
  <c r="AG87" i="14"/>
  <c r="AF88" i="14"/>
  <c r="AG88" i="14"/>
  <c r="AF89" i="14"/>
  <c r="AG89" i="14"/>
  <c r="AF90" i="14"/>
  <c r="AG90" i="14"/>
  <c r="AF91" i="14"/>
  <c r="AG91" i="14"/>
  <c r="AF92" i="14"/>
  <c r="AG92" i="14"/>
  <c r="AF93" i="14"/>
  <c r="AG93" i="14"/>
  <c r="AE50" i="14"/>
  <c r="AE51" i="14"/>
  <c r="AE52" i="14"/>
  <c r="AE53" i="14"/>
  <c r="AE54" i="14"/>
  <c r="AE55" i="14"/>
  <c r="AE56" i="14"/>
  <c r="AE57" i="14"/>
  <c r="AE58" i="14"/>
  <c r="AE59" i="14"/>
  <c r="AE60" i="14"/>
  <c r="AE61" i="14"/>
  <c r="AE62" i="14"/>
  <c r="AE63" i="14"/>
  <c r="AE64" i="14"/>
  <c r="AE65" i="14"/>
  <c r="AE66" i="14"/>
  <c r="AE67" i="14"/>
  <c r="AE68" i="14"/>
  <c r="AE69" i="14"/>
  <c r="AE70" i="14"/>
  <c r="AE71" i="14"/>
  <c r="AE72" i="14"/>
  <c r="AE73" i="14"/>
  <c r="AE74" i="14"/>
  <c r="AE75" i="14"/>
  <c r="AE76" i="14"/>
  <c r="AE77" i="14"/>
  <c r="AE78" i="14"/>
  <c r="AE79" i="14"/>
  <c r="AE80" i="14"/>
  <c r="AE81" i="14"/>
  <c r="AE82" i="14"/>
  <c r="AE83" i="14"/>
  <c r="AE84" i="14"/>
  <c r="AE85" i="14"/>
  <c r="AE86" i="14"/>
  <c r="AE87" i="14"/>
  <c r="AE88" i="14"/>
  <c r="AE89" i="14"/>
  <c r="AE90" i="14"/>
  <c r="AE91" i="14"/>
  <c r="AE92" i="14"/>
  <c r="AE93" i="14"/>
  <c r="D124" i="14" l="1"/>
  <c r="D125" i="14"/>
  <c r="D126" i="14"/>
  <c r="D127" i="14"/>
  <c r="D128" i="14"/>
  <c r="D129" i="14"/>
  <c r="D130" i="14"/>
  <c r="D131" i="14"/>
  <c r="D132" i="14"/>
  <c r="D133" i="14"/>
  <c r="D134" i="14"/>
  <c r="D135" i="14"/>
  <c r="D136" i="14"/>
  <c r="D137" i="14"/>
  <c r="D138" i="14"/>
  <c r="D139" i="14"/>
  <c r="D141" i="14"/>
  <c r="D142" i="14"/>
  <c r="D143" i="14"/>
  <c r="D144" i="14"/>
  <c r="D145" i="14"/>
  <c r="D146" i="14"/>
  <c r="D147" i="14"/>
  <c r="D148" i="14"/>
  <c r="D149" i="14"/>
  <c r="D150" i="14"/>
  <c r="D154" i="14"/>
  <c r="D155" i="14"/>
  <c r="D156" i="14"/>
  <c r="D157" i="14"/>
  <c r="D158" i="14"/>
  <c r="D159" i="14"/>
  <c r="D160" i="14"/>
  <c r="D161" i="14"/>
  <c r="D162" i="14"/>
  <c r="D163" i="14"/>
  <c r="D164" i="14"/>
  <c r="D165" i="14"/>
  <c r="D166" i="14"/>
  <c r="D167" i="14"/>
  <c r="D168" i="14"/>
  <c r="D169" i="14"/>
  <c r="D170" i="14"/>
  <c r="D174" i="14"/>
  <c r="D175" i="14"/>
  <c r="D176" i="14"/>
  <c r="D177" i="14"/>
  <c r="D178" i="14"/>
  <c r="D179" i="14"/>
  <c r="D180" i="14"/>
  <c r="D181" i="14"/>
  <c r="D182" i="14"/>
  <c r="D183" i="14"/>
  <c r="D184" i="14"/>
  <c r="D185" i="14"/>
  <c r="D186" i="14"/>
  <c r="D187" i="14"/>
  <c r="D188" i="14"/>
  <c r="D189" i="14"/>
  <c r="D190" i="14"/>
  <c r="D191" i="14"/>
  <c r="D192" i="14"/>
  <c r="D193" i="14"/>
  <c r="D194" i="14"/>
  <c r="D195" i="14"/>
  <c r="D196" i="14"/>
  <c r="D197" i="14"/>
  <c r="BE31" i="15" l="1"/>
  <c r="BF31" i="15"/>
  <c r="BG31" i="15"/>
  <c r="BH31" i="15"/>
  <c r="BI31" i="15"/>
  <c r="BJ31" i="15"/>
  <c r="BK31" i="15"/>
  <c r="BL31" i="15"/>
  <c r="BM31" i="15"/>
  <c r="BN31" i="15"/>
  <c r="BO31" i="15"/>
  <c r="BP31" i="15"/>
  <c r="BQ31" i="15"/>
  <c r="BR31" i="15"/>
  <c r="BS31" i="15"/>
  <c r="BT31" i="15"/>
  <c r="BE32" i="15"/>
  <c r="BF32" i="15"/>
  <c r="BG32" i="15"/>
  <c r="BH32" i="15"/>
  <c r="BI32" i="15"/>
  <c r="BJ32" i="15"/>
  <c r="BK32" i="15"/>
  <c r="BL32" i="15"/>
  <c r="BM32" i="15"/>
  <c r="BN32" i="15"/>
  <c r="BO32" i="15"/>
  <c r="BP32" i="15"/>
  <c r="BQ32" i="15"/>
  <c r="BR32" i="15"/>
  <c r="BS32" i="15"/>
  <c r="BT32" i="15"/>
  <c r="BE33" i="15"/>
  <c r="BF33" i="15"/>
  <c r="BG33" i="15"/>
  <c r="BH33" i="15"/>
  <c r="BI33" i="15"/>
  <c r="BJ33" i="15"/>
  <c r="BK33" i="15"/>
  <c r="BL33" i="15"/>
  <c r="BM33" i="15"/>
  <c r="BN33" i="15"/>
  <c r="BO33" i="15"/>
  <c r="BP33" i="15"/>
  <c r="BQ33" i="15"/>
  <c r="BR33" i="15"/>
  <c r="BS33" i="15"/>
  <c r="BT33" i="15"/>
  <c r="BE34" i="15"/>
  <c r="BF34" i="15"/>
  <c r="BG34" i="15"/>
  <c r="BH34" i="15"/>
  <c r="BI34" i="15"/>
  <c r="BJ34" i="15"/>
  <c r="BK34" i="15"/>
  <c r="BL34" i="15"/>
  <c r="BM34" i="15"/>
  <c r="BN34" i="15"/>
  <c r="BO34" i="15"/>
  <c r="BP34" i="15"/>
  <c r="BQ34" i="15"/>
  <c r="BR34" i="15"/>
  <c r="BS34" i="15"/>
  <c r="BT34" i="15"/>
  <c r="BE35" i="15"/>
  <c r="BF35" i="15"/>
  <c r="BG35" i="15"/>
  <c r="BH35" i="15"/>
  <c r="BI35" i="15"/>
  <c r="BJ35" i="15"/>
  <c r="BK35" i="15"/>
  <c r="BL35" i="15"/>
  <c r="BM35" i="15"/>
  <c r="BN35" i="15"/>
  <c r="BO35" i="15"/>
  <c r="BP35" i="15"/>
  <c r="BQ35" i="15"/>
  <c r="BR35" i="15"/>
  <c r="BS35" i="15"/>
  <c r="BT35" i="15"/>
  <c r="BE36" i="15"/>
  <c r="BF36" i="15"/>
  <c r="BG36" i="15"/>
  <c r="BH36" i="15"/>
  <c r="BI36" i="15"/>
  <c r="BJ36" i="15"/>
  <c r="BK36" i="15"/>
  <c r="BL36" i="15"/>
  <c r="BM36" i="15"/>
  <c r="BN36" i="15"/>
  <c r="BO36" i="15"/>
  <c r="BP36" i="15"/>
  <c r="BQ36" i="15"/>
  <c r="BR36" i="15"/>
  <c r="BS36" i="15"/>
  <c r="BT36" i="15"/>
  <c r="BE37" i="15"/>
  <c r="BF37" i="15"/>
  <c r="BG37" i="15"/>
  <c r="BH37" i="15"/>
  <c r="BI37" i="15"/>
  <c r="BJ37" i="15"/>
  <c r="BK37" i="15"/>
  <c r="BL37" i="15"/>
  <c r="BM37" i="15"/>
  <c r="BN37" i="15"/>
  <c r="BO37" i="15"/>
  <c r="BP37" i="15"/>
  <c r="BQ37" i="15"/>
  <c r="BR37" i="15"/>
  <c r="BS37" i="15"/>
  <c r="BT37" i="15"/>
  <c r="BE38" i="15"/>
  <c r="BF38" i="15"/>
  <c r="BG38" i="15"/>
  <c r="BH38" i="15"/>
  <c r="BI38" i="15"/>
  <c r="BJ38" i="15"/>
  <c r="BK38" i="15"/>
  <c r="BL38" i="15"/>
  <c r="BM38" i="15"/>
  <c r="BN38" i="15"/>
  <c r="BO38" i="15"/>
  <c r="BP38" i="15"/>
  <c r="BQ38" i="15"/>
  <c r="BR38" i="15"/>
  <c r="BS38" i="15"/>
  <c r="BT38" i="15"/>
  <c r="BE39" i="15"/>
  <c r="BF39" i="15"/>
  <c r="BG39" i="15"/>
  <c r="BH39" i="15"/>
  <c r="BI39" i="15"/>
  <c r="BJ39" i="15"/>
  <c r="BK39" i="15"/>
  <c r="BL39" i="15"/>
  <c r="BM39" i="15"/>
  <c r="BN39" i="15"/>
  <c r="BO39" i="15"/>
  <c r="BP39" i="15"/>
  <c r="BQ39" i="15"/>
  <c r="BR39" i="15"/>
  <c r="BS39" i="15"/>
  <c r="BT39" i="15"/>
  <c r="BE40" i="15"/>
  <c r="BF40" i="15"/>
  <c r="BG40" i="15"/>
  <c r="BH40" i="15"/>
  <c r="BI40" i="15"/>
  <c r="BJ40" i="15"/>
  <c r="BK40" i="15"/>
  <c r="BL40" i="15"/>
  <c r="BM40" i="15"/>
  <c r="BN40" i="15"/>
  <c r="BO40" i="15"/>
  <c r="BP40" i="15"/>
  <c r="BQ40" i="15"/>
  <c r="BR40" i="15"/>
  <c r="BS40" i="15"/>
  <c r="BT40" i="15"/>
  <c r="BE41" i="15"/>
  <c r="BF41" i="15"/>
  <c r="BG41" i="15"/>
  <c r="BH41" i="15"/>
  <c r="BI41" i="15"/>
  <c r="BJ41" i="15"/>
  <c r="BK41" i="15"/>
  <c r="BL41" i="15"/>
  <c r="BM41" i="15"/>
  <c r="BN41" i="15"/>
  <c r="BO41" i="15"/>
  <c r="BP41" i="15"/>
  <c r="BQ41" i="15"/>
  <c r="BR41" i="15"/>
  <c r="BS41" i="15"/>
  <c r="BT41" i="15"/>
  <c r="BE42" i="15"/>
  <c r="BF42" i="15"/>
  <c r="BG42" i="15"/>
  <c r="BH42" i="15"/>
  <c r="BI42" i="15"/>
  <c r="BJ42" i="15"/>
  <c r="BK42" i="15"/>
  <c r="BL42" i="15"/>
  <c r="BM42" i="15"/>
  <c r="BN42" i="15"/>
  <c r="BO42" i="15"/>
  <c r="BP42" i="15"/>
  <c r="BQ42" i="15"/>
  <c r="BR42" i="15"/>
  <c r="BS42" i="15"/>
  <c r="BT42" i="15"/>
  <c r="BE43" i="15"/>
  <c r="BF43" i="15"/>
  <c r="BG43" i="15"/>
  <c r="BH43" i="15"/>
  <c r="BI43" i="15"/>
  <c r="BJ43" i="15"/>
  <c r="BK43" i="15"/>
  <c r="BL43" i="15"/>
  <c r="BM43" i="15"/>
  <c r="BN43" i="15"/>
  <c r="BO43" i="15"/>
  <c r="BP43" i="15"/>
  <c r="BQ43" i="15"/>
  <c r="BR43" i="15"/>
  <c r="BS43" i="15"/>
  <c r="BT43" i="15"/>
  <c r="BE44" i="15"/>
  <c r="BF44" i="15"/>
  <c r="BG44" i="15"/>
  <c r="BH44" i="15"/>
  <c r="BI44" i="15"/>
  <c r="BJ44" i="15"/>
  <c r="BK44" i="15"/>
  <c r="BL44" i="15"/>
  <c r="BM44" i="15"/>
  <c r="BN44" i="15"/>
  <c r="BO44" i="15"/>
  <c r="BP44" i="15"/>
  <c r="BQ44" i="15"/>
  <c r="BR44" i="15"/>
  <c r="BS44" i="15"/>
  <c r="BT44" i="15"/>
  <c r="BE45" i="15"/>
  <c r="BF45" i="15"/>
  <c r="BG45" i="15"/>
  <c r="BH45" i="15"/>
  <c r="BI45" i="15"/>
  <c r="BJ45" i="15"/>
  <c r="BK45" i="15"/>
  <c r="BL45" i="15"/>
  <c r="BM45" i="15"/>
  <c r="BN45" i="15"/>
  <c r="BO45" i="15"/>
  <c r="BP45" i="15"/>
  <c r="BQ45" i="15"/>
  <c r="BR45" i="15"/>
  <c r="BS45" i="15"/>
  <c r="BT45" i="15"/>
  <c r="BE46" i="15"/>
  <c r="BF46" i="15"/>
  <c r="BG46" i="15"/>
  <c r="BH46" i="15"/>
  <c r="BI46" i="15"/>
  <c r="BJ46" i="15"/>
  <c r="BK46" i="15"/>
  <c r="BL46" i="15"/>
  <c r="BM46" i="15"/>
  <c r="BN46" i="15"/>
  <c r="BO46" i="15"/>
  <c r="BP46" i="15"/>
  <c r="BQ46" i="15"/>
  <c r="BR46" i="15"/>
  <c r="BS46" i="15"/>
  <c r="BT46" i="15"/>
  <c r="BE48" i="15"/>
  <c r="BF48" i="15"/>
  <c r="BG48" i="15"/>
  <c r="BH48" i="15"/>
  <c r="BI48" i="15"/>
  <c r="BJ48" i="15"/>
  <c r="BK48" i="15"/>
  <c r="BL48" i="15"/>
  <c r="BM48" i="15"/>
  <c r="BN48" i="15"/>
  <c r="BO48" i="15"/>
  <c r="BP48" i="15"/>
  <c r="BQ48" i="15"/>
  <c r="BR48" i="15"/>
  <c r="BS48" i="15"/>
  <c r="BT48" i="15"/>
  <c r="BI60" i="15"/>
  <c r="BJ60" i="15"/>
  <c r="BK60" i="15"/>
  <c r="BL60" i="15"/>
  <c r="BM60" i="15"/>
  <c r="BN60" i="15"/>
  <c r="BO60" i="15"/>
  <c r="BP60" i="15"/>
  <c r="BQ60" i="15"/>
  <c r="BR60" i="15"/>
  <c r="BS60" i="15"/>
  <c r="BT60" i="15"/>
  <c r="BU60" i="15"/>
  <c r="BV60" i="15"/>
  <c r="BW60" i="15"/>
  <c r="BX60" i="15"/>
  <c r="BI61" i="15"/>
  <c r="BJ61" i="15"/>
  <c r="BK61" i="15"/>
  <c r="BL61" i="15"/>
  <c r="BM61" i="15"/>
  <c r="BN61" i="15"/>
  <c r="BO61" i="15"/>
  <c r="BP61" i="15"/>
  <c r="BQ61" i="15"/>
  <c r="BR61" i="15"/>
  <c r="BS61" i="15"/>
  <c r="BT61" i="15"/>
  <c r="BU61" i="15"/>
  <c r="BV61" i="15"/>
  <c r="BW61" i="15"/>
  <c r="BX61" i="15"/>
  <c r="BI62" i="15"/>
  <c r="BJ62" i="15"/>
  <c r="BK62" i="15"/>
  <c r="BL62" i="15"/>
  <c r="BM62" i="15"/>
  <c r="BN62" i="15"/>
  <c r="BO62" i="15"/>
  <c r="BP62" i="15"/>
  <c r="BQ62" i="15"/>
  <c r="BR62" i="15"/>
  <c r="BS62" i="15"/>
  <c r="BT62" i="15"/>
  <c r="BU62" i="15"/>
  <c r="BV62" i="15"/>
  <c r="BW62" i="15"/>
  <c r="BX62" i="15"/>
  <c r="BI63" i="15"/>
  <c r="BJ63" i="15"/>
  <c r="BK63" i="15"/>
  <c r="BL63" i="15"/>
  <c r="BM63" i="15"/>
  <c r="BN63" i="15"/>
  <c r="BO63" i="15"/>
  <c r="BP63" i="15"/>
  <c r="BQ63" i="15"/>
  <c r="BR63" i="15"/>
  <c r="BS63" i="15"/>
  <c r="BT63" i="15"/>
  <c r="BU63" i="15"/>
  <c r="BV63" i="15"/>
  <c r="BW63" i="15"/>
  <c r="BX63" i="15"/>
  <c r="BI64" i="15"/>
  <c r="BJ64" i="15"/>
  <c r="BK64" i="15"/>
  <c r="BL64" i="15"/>
  <c r="BM64" i="15"/>
  <c r="BN64" i="15"/>
  <c r="BO64" i="15"/>
  <c r="BP64" i="15"/>
  <c r="BQ64" i="15"/>
  <c r="BR64" i="15"/>
  <c r="BS64" i="15"/>
  <c r="BT64" i="15"/>
  <c r="BU64" i="15"/>
  <c r="BV64" i="15"/>
  <c r="BW64" i="15"/>
  <c r="BX64" i="15"/>
  <c r="BI65" i="15"/>
  <c r="BJ65" i="15"/>
  <c r="BK65" i="15"/>
  <c r="BL65" i="15"/>
  <c r="BM65" i="15"/>
  <c r="BN65" i="15"/>
  <c r="BO65" i="15"/>
  <c r="BP65" i="15"/>
  <c r="BQ65" i="15"/>
  <c r="BR65" i="15"/>
  <c r="BS65" i="15"/>
  <c r="BT65" i="15"/>
  <c r="BU65" i="15"/>
  <c r="BV65" i="15"/>
  <c r="BW65" i="15"/>
  <c r="BX65" i="15"/>
  <c r="BI66" i="15"/>
  <c r="BJ66" i="15"/>
  <c r="BK66" i="15"/>
  <c r="BL66" i="15"/>
  <c r="BM66" i="15"/>
  <c r="BN66" i="15"/>
  <c r="BO66" i="15"/>
  <c r="BP66" i="15"/>
  <c r="BQ66" i="15"/>
  <c r="BR66" i="15"/>
  <c r="BS66" i="15"/>
  <c r="BT66" i="15"/>
  <c r="BU66" i="15"/>
  <c r="BV66" i="15"/>
  <c r="BW66" i="15"/>
  <c r="BX66" i="15"/>
  <c r="BI67" i="15"/>
  <c r="BJ67" i="15"/>
  <c r="BK67" i="15"/>
  <c r="BL67" i="15"/>
  <c r="BM67" i="15"/>
  <c r="BN67" i="15"/>
  <c r="BO67" i="15"/>
  <c r="BP67" i="15"/>
  <c r="BQ67" i="15"/>
  <c r="BR67" i="15"/>
  <c r="BS67" i="15"/>
  <c r="BT67" i="15"/>
  <c r="BU67" i="15"/>
  <c r="BV67" i="15"/>
  <c r="BW67" i="15"/>
  <c r="BX67" i="15"/>
  <c r="BI68" i="15"/>
  <c r="BJ68" i="15"/>
  <c r="BK68" i="15"/>
  <c r="BL68" i="15"/>
  <c r="BM68" i="15"/>
  <c r="BN68" i="15"/>
  <c r="BO68" i="15"/>
  <c r="BP68" i="15"/>
  <c r="BQ68" i="15"/>
  <c r="BR68" i="15"/>
  <c r="BS68" i="15"/>
  <c r="BT68" i="15"/>
  <c r="BU68" i="15"/>
  <c r="BV68" i="15"/>
  <c r="BW68" i="15"/>
  <c r="BX68" i="15"/>
  <c r="BI69" i="15"/>
  <c r="BJ69" i="15"/>
  <c r="BK69" i="15"/>
  <c r="BL69" i="15"/>
  <c r="BM69" i="15"/>
  <c r="BN69" i="15"/>
  <c r="BO69" i="15"/>
  <c r="BP69" i="15"/>
  <c r="BQ69" i="15"/>
  <c r="BR69" i="15"/>
  <c r="BS69" i="15"/>
  <c r="BT69" i="15"/>
  <c r="BU69" i="15"/>
  <c r="BV69" i="15"/>
  <c r="BW69" i="15"/>
  <c r="BX69" i="15"/>
  <c r="BI70" i="15"/>
  <c r="BJ70" i="15"/>
  <c r="BK70" i="15"/>
  <c r="BL70" i="15"/>
  <c r="BM70" i="15"/>
  <c r="BN70" i="15"/>
  <c r="BO70" i="15"/>
  <c r="BP70" i="15"/>
  <c r="BQ70" i="15"/>
  <c r="BR70" i="15"/>
  <c r="BS70" i="15"/>
  <c r="BT70" i="15"/>
  <c r="BU70" i="15"/>
  <c r="BV70" i="15"/>
  <c r="BW70" i="15"/>
  <c r="BX70" i="15"/>
  <c r="BI71" i="15"/>
  <c r="BJ71" i="15"/>
  <c r="BK71" i="15"/>
  <c r="BL71" i="15"/>
  <c r="BM71" i="15"/>
  <c r="BN71" i="15"/>
  <c r="BO71" i="15"/>
  <c r="BP71" i="15"/>
  <c r="BQ71" i="15"/>
  <c r="BR71" i="15"/>
  <c r="BS71" i="15"/>
  <c r="BT71" i="15"/>
  <c r="BU71" i="15"/>
  <c r="BV71" i="15"/>
  <c r="BW71" i="15"/>
  <c r="BX71" i="15"/>
  <c r="BI72" i="15"/>
  <c r="BJ72" i="15"/>
  <c r="BK72" i="15"/>
  <c r="BL72" i="15"/>
  <c r="BM72" i="15"/>
  <c r="BN72" i="15"/>
  <c r="BO72" i="15"/>
  <c r="BP72" i="15"/>
  <c r="BQ72" i="15"/>
  <c r="BR72" i="15"/>
  <c r="BS72" i="15"/>
  <c r="BT72" i="15"/>
  <c r="BU72" i="15"/>
  <c r="BV72" i="15"/>
  <c r="BW72" i="15"/>
  <c r="BX72" i="15"/>
  <c r="BI73" i="15"/>
  <c r="BJ73" i="15"/>
  <c r="BK73" i="15"/>
  <c r="BL73" i="15"/>
  <c r="BM73" i="15"/>
  <c r="BN73" i="15"/>
  <c r="BO73" i="15"/>
  <c r="BP73" i="15"/>
  <c r="BQ73" i="15"/>
  <c r="BR73" i="15"/>
  <c r="BS73" i="15"/>
  <c r="BT73" i="15"/>
  <c r="BU73" i="15"/>
  <c r="BV73" i="15"/>
  <c r="BW73" i="15"/>
  <c r="BX73" i="15"/>
  <c r="BI74" i="15"/>
  <c r="BJ74" i="15"/>
  <c r="BK74" i="15"/>
  <c r="BL74" i="15"/>
  <c r="BM74" i="15"/>
  <c r="BN74" i="15"/>
  <c r="BO74" i="15"/>
  <c r="BP74" i="15"/>
  <c r="BQ74" i="15"/>
  <c r="BR74" i="15"/>
  <c r="BS74" i="15"/>
  <c r="BT74" i="15"/>
  <c r="BU74" i="15"/>
  <c r="BV74" i="15"/>
  <c r="BW74" i="15"/>
  <c r="BX74" i="15"/>
  <c r="BI75" i="15"/>
  <c r="BJ75" i="15"/>
  <c r="BK75" i="15"/>
  <c r="BL75" i="15"/>
  <c r="BM75" i="15"/>
  <c r="BN75" i="15"/>
  <c r="BO75" i="15"/>
  <c r="BP75" i="15"/>
  <c r="BQ75" i="15"/>
  <c r="BR75" i="15"/>
  <c r="BS75" i="15"/>
  <c r="BT75" i="15"/>
  <c r="BU75" i="15"/>
  <c r="BV75" i="15"/>
  <c r="BW75" i="15"/>
  <c r="BX75" i="15"/>
  <c r="BE85" i="15"/>
  <c r="BF85" i="15"/>
  <c r="BG85" i="15"/>
  <c r="BH85" i="15"/>
  <c r="BI85" i="15"/>
  <c r="BJ85" i="15"/>
  <c r="BK85" i="15"/>
  <c r="BL85" i="15"/>
  <c r="BM85" i="15"/>
  <c r="BN85" i="15"/>
  <c r="BO85" i="15"/>
  <c r="BP85" i="15"/>
  <c r="BQ85" i="15"/>
  <c r="BR85" i="15"/>
  <c r="BS85" i="15"/>
  <c r="BT85" i="15"/>
  <c r="BE86" i="15"/>
  <c r="BF86" i="15"/>
  <c r="BG86" i="15"/>
  <c r="BH86" i="15"/>
  <c r="BI86" i="15"/>
  <c r="BJ86" i="15"/>
  <c r="BK86" i="15"/>
  <c r="BL86" i="15"/>
  <c r="BM86" i="15"/>
  <c r="BN86" i="15"/>
  <c r="BO86" i="15"/>
  <c r="BP86" i="15"/>
  <c r="BQ86" i="15"/>
  <c r="BR86" i="15"/>
  <c r="BS86" i="15"/>
  <c r="BT86" i="15"/>
  <c r="BE87" i="15"/>
  <c r="BF87" i="15"/>
  <c r="BG87" i="15"/>
  <c r="BH87" i="15"/>
  <c r="BI87" i="15"/>
  <c r="BJ87" i="15"/>
  <c r="BK87" i="15"/>
  <c r="BL87" i="15"/>
  <c r="BM87" i="15"/>
  <c r="BN87" i="15"/>
  <c r="BO87" i="15"/>
  <c r="BP87" i="15"/>
  <c r="BQ87" i="15"/>
  <c r="BR87" i="15"/>
  <c r="BS87" i="15"/>
  <c r="BT87" i="15"/>
  <c r="BE88" i="15"/>
  <c r="BF88" i="15"/>
  <c r="BG88" i="15"/>
  <c r="BH88" i="15"/>
  <c r="BI88" i="15"/>
  <c r="BJ88" i="15"/>
  <c r="BK88" i="15"/>
  <c r="BL88" i="15"/>
  <c r="BM88" i="15"/>
  <c r="BN88" i="15"/>
  <c r="BO88" i="15"/>
  <c r="BP88" i="15"/>
  <c r="BQ88" i="15"/>
  <c r="BR88" i="15"/>
  <c r="BS88" i="15"/>
  <c r="BT88" i="15"/>
  <c r="BE89" i="15"/>
  <c r="BF89" i="15"/>
  <c r="BG89" i="15"/>
  <c r="BH89" i="15"/>
  <c r="BI89" i="15"/>
  <c r="BJ89" i="15"/>
  <c r="BK89" i="15"/>
  <c r="BL89" i="15"/>
  <c r="BM89" i="15"/>
  <c r="BN89" i="15"/>
  <c r="BO89" i="15"/>
  <c r="BP89" i="15"/>
  <c r="BQ89" i="15"/>
  <c r="BR89" i="15"/>
  <c r="BS89" i="15"/>
  <c r="BT89" i="15"/>
  <c r="BE90" i="15"/>
  <c r="BF90" i="15"/>
  <c r="BG90" i="15"/>
  <c r="BH90" i="15"/>
  <c r="BI90" i="15"/>
  <c r="BJ90" i="15"/>
  <c r="BK90" i="15"/>
  <c r="BL90" i="15"/>
  <c r="BM90" i="15"/>
  <c r="BN90" i="15"/>
  <c r="BO90" i="15"/>
  <c r="BP90" i="15"/>
  <c r="BQ90" i="15"/>
  <c r="BR90" i="15"/>
  <c r="BS90" i="15"/>
  <c r="BT90" i="15"/>
  <c r="BE91" i="15"/>
  <c r="BF91" i="15"/>
  <c r="BG91" i="15"/>
  <c r="BH91" i="15"/>
  <c r="BI91" i="15"/>
  <c r="BJ91" i="15"/>
  <c r="BK91" i="15"/>
  <c r="BL91" i="15"/>
  <c r="BM91" i="15"/>
  <c r="BN91" i="15"/>
  <c r="BO91" i="15"/>
  <c r="BP91" i="15"/>
  <c r="BQ91" i="15"/>
  <c r="BR91" i="15"/>
  <c r="BS91" i="15"/>
  <c r="BT91" i="15"/>
  <c r="BE92" i="15"/>
  <c r="BF92" i="15"/>
  <c r="BG92" i="15"/>
  <c r="BH92" i="15"/>
  <c r="BI92" i="15"/>
  <c r="BJ92" i="15"/>
  <c r="BK92" i="15"/>
  <c r="BL92" i="15"/>
  <c r="BM92" i="15"/>
  <c r="BN92" i="15"/>
  <c r="BO92" i="15"/>
  <c r="BP92" i="15"/>
  <c r="BQ92" i="15"/>
  <c r="BR92" i="15"/>
  <c r="BS92" i="15"/>
  <c r="BT92" i="15"/>
  <c r="BE93" i="15"/>
  <c r="BF93" i="15"/>
  <c r="BG93" i="15"/>
  <c r="BH93" i="15"/>
  <c r="BI93" i="15"/>
  <c r="BJ93" i="15"/>
  <c r="BK93" i="15"/>
  <c r="BL93" i="15"/>
  <c r="BM93" i="15"/>
  <c r="BN93" i="15"/>
  <c r="BO93" i="15"/>
  <c r="BP93" i="15"/>
  <c r="BQ93" i="15"/>
  <c r="BR93" i="15"/>
  <c r="BS93" i="15"/>
  <c r="BT93" i="15"/>
  <c r="BE94" i="15"/>
  <c r="BF94" i="15"/>
  <c r="BG94" i="15"/>
  <c r="BH94" i="15"/>
  <c r="BI94" i="15"/>
  <c r="BJ94" i="15"/>
  <c r="BK94" i="15"/>
  <c r="BL94" i="15"/>
  <c r="BM94" i="15"/>
  <c r="BN94" i="15"/>
  <c r="BO94" i="15"/>
  <c r="BP94" i="15"/>
  <c r="BQ94" i="15"/>
  <c r="BR94" i="15"/>
  <c r="BS94" i="15"/>
  <c r="BT94" i="15"/>
  <c r="BE95" i="15"/>
  <c r="BF95" i="15"/>
  <c r="BG95" i="15"/>
  <c r="BH95" i="15"/>
  <c r="BI95" i="15"/>
  <c r="BJ95" i="15"/>
  <c r="BK95" i="15"/>
  <c r="BL95" i="15"/>
  <c r="BM95" i="15"/>
  <c r="BN95" i="15"/>
  <c r="BO95" i="15"/>
  <c r="BP95" i="15"/>
  <c r="BQ95" i="15"/>
  <c r="BR95" i="15"/>
  <c r="BS95" i="15"/>
  <c r="BT95" i="15"/>
  <c r="BE96" i="15"/>
  <c r="BF96" i="15"/>
  <c r="BG96" i="15"/>
  <c r="BH96" i="15"/>
  <c r="BI96" i="15"/>
  <c r="BJ96" i="15"/>
  <c r="BK96" i="15"/>
  <c r="BL96" i="15"/>
  <c r="BM96" i="15"/>
  <c r="BN96" i="15"/>
  <c r="BO96" i="15"/>
  <c r="BP96" i="15"/>
  <c r="BQ96" i="15"/>
  <c r="BR96" i="15"/>
  <c r="BS96" i="15"/>
  <c r="BT96" i="15"/>
  <c r="BE97" i="15"/>
  <c r="BF97" i="15"/>
  <c r="BG97" i="15"/>
  <c r="BH97" i="15"/>
  <c r="BI97" i="15"/>
  <c r="BJ97" i="15"/>
  <c r="BK97" i="15"/>
  <c r="BL97" i="15"/>
  <c r="BM97" i="15"/>
  <c r="BN97" i="15"/>
  <c r="BO97" i="15"/>
  <c r="BP97" i="15"/>
  <c r="BQ97" i="15"/>
  <c r="BR97" i="15"/>
  <c r="BS97" i="15"/>
  <c r="BT97" i="15"/>
  <c r="BE98" i="15"/>
  <c r="BF98" i="15"/>
  <c r="BG98" i="15"/>
  <c r="BH98" i="15"/>
  <c r="BI98" i="15"/>
  <c r="BJ98" i="15"/>
  <c r="BK98" i="15"/>
  <c r="BL98" i="15"/>
  <c r="BM98" i="15"/>
  <c r="BN98" i="15"/>
  <c r="BO98" i="15"/>
  <c r="BP98" i="15"/>
  <c r="BQ98" i="15"/>
  <c r="BR98" i="15"/>
  <c r="BS98" i="15"/>
  <c r="BT98" i="15"/>
  <c r="BE99" i="15"/>
  <c r="BF99" i="15"/>
  <c r="BG99" i="15"/>
  <c r="BH99" i="15"/>
  <c r="BI99" i="15"/>
  <c r="BJ99" i="15"/>
  <c r="BK99" i="15"/>
  <c r="BL99" i="15"/>
  <c r="BM99" i="15"/>
  <c r="BN99" i="15"/>
  <c r="BO99" i="15"/>
  <c r="BP99" i="15"/>
  <c r="BQ99" i="15"/>
  <c r="BR99" i="15"/>
  <c r="BS99" i="15"/>
  <c r="BT99" i="15"/>
  <c r="BE100" i="15"/>
  <c r="BF100" i="15"/>
  <c r="BG100" i="15"/>
  <c r="BH100" i="15"/>
  <c r="BI100" i="15"/>
  <c r="BJ100" i="15"/>
  <c r="BK100" i="15"/>
  <c r="BL100" i="15"/>
  <c r="BM100" i="15"/>
  <c r="BN100" i="15"/>
  <c r="BO100" i="15"/>
  <c r="BP100" i="15"/>
  <c r="BQ100" i="15"/>
  <c r="BR100" i="15"/>
  <c r="BS100" i="15"/>
  <c r="BT100" i="15"/>
  <c r="BE101" i="15"/>
  <c r="BF101" i="15"/>
  <c r="BG101" i="15"/>
  <c r="BH101" i="15"/>
  <c r="BI101" i="15"/>
  <c r="BJ101" i="15"/>
  <c r="BK101" i="15"/>
  <c r="BL101" i="15"/>
  <c r="BM101" i="15"/>
  <c r="BN101" i="15"/>
  <c r="BO101" i="15"/>
  <c r="BP101" i="15"/>
  <c r="BQ101" i="15"/>
  <c r="BR101" i="15"/>
  <c r="BS101" i="15"/>
  <c r="BT101" i="15"/>
  <c r="BE102" i="15"/>
  <c r="BF102" i="15"/>
  <c r="BG102" i="15"/>
  <c r="BH102" i="15"/>
  <c r="BI102" i="15"/>
  <c r="BJ102" i="15"/>
  <c r="BK102" i="15"/>
  <c r="BL102" i="15"/>
  <c r="BM102" i="15"/>
  <c r="BN102" i="15"/>
  <c r="BO102" i="15"/>
  <c r="BP102" i="15"/>
  <c r="BQ102" i="15"/>
  <c r="BR102" i="15"/>
  <c r="BS102" i="15"/>
  <c r="BT102" i="15"/>
  <c r="BG115" i="15"/>
  <c r="BH115" i="15"/>
  <c r="BI115" i="15"/>
  <c r="BJ115" i="15"/>
  <c r="BK115" i="15"/>
  <c r="BL115" i="15"/>
  <c r="BM115" i="15"/>
  <c r="BN115" i="15"/>
  <c r="BO115" i="15"/>
  <c r="BP115" i="15"/>
  <c r="BQ115" i="15"/>
  <c r="BR115" i="15"/>
  <c r="BS115" i="15"/>
  <c r="BT115" i="15"/>
  <c r="BU115" i="15"/>
  <c r="BV115" i="15"/>
  <c r="BG116" i="15"/>
  <c r="BH116" i="15"/>
  <c r="BI116" i="15"/>
  <c r="BJ116" i="15"/>
  <c r="BK116" i="15"/>
  <c r="BL116" i="15"/>
  <c r="BM116" i="15"/>
  <c r="BN116" i="15"/>
  <c r="BO116" i="15"/>
  <c r="BP116" i="15"/>
  <c r="BQ116" i="15"/>
  <c r="BR116" i="15"/>
  <c r="BS116" i="15"/>
  <c r="BT116" i="15"/>
  <c r="BU116" i="15"/>
  <c r="BV116" i="15"/>
  <c r="BG117" i="15"/>
  <c r="BH117" i="15"/>
  <c r="BI117" i="15"/>
  <c r="BJ117" i="15"/>
  <c r="BK117" i="15"/>
  <c r="BL117" i="15"/>
  <c r="BM117" i="15"/>
  <c r="BN117" i="15"/>
  <c r="BO117" i="15"/>
  <c r="BP117" i="15"/>
  <c r="BQ117" i="15"/>
  <c r="BR117" i="15"/>
  <c r="BS117" i="15"/>
  <c r="BT117" i="15"/>
  <c r="BU117" i="15"/>
  <c r="BV117" i="15"/>
  <c r="BG118" i="15"/>
  <c r="BH118" i="15"/>
  <c r="BI118" i="15"/>
  <c r="BJ118" i="15"/>
  <c r="BK118" i="15"/>
  <c r="BL118" i="15"/>
  <c r="BM118" i="15"/>
  <c r="BN118" i="15"/>
  <c r="BO118" i="15"/>
  <c r="BP118" i="15"/>
  <c r="BQ118" i="15"/>
  <c r="BR118" i="15"/>
  <c r="BS118" i="15"/>
  <c r="BT118" i="15"/>
  <c r="BU118" i="15"/>
  <c r="BV118" i="15"/>
  <c r="BG119" i="15"/>
  <c r="BH119" i="15"/>
  <c r="BI119" i="15"/>
  <c r="BJ119" i="15"/>
  <c r="BK119" i="15"/>
  <c r="BL119" i="15"/>
  <c r="BM119" i="15"/>
  <c r="BN119" i="15"/>
  <c r="BO119" i="15"/>
  <c r="BP119" i="15"/>
  <c r="BQ119" i="15"/>
  <c r="BR119" i="15"/>
  <c r="BS119" i="15"/>
  <c r="BT119" i="15"/>
  <c r="BU119" i="15"/>
  <c r="BV119" i="15"/>
  <c r="BG120" i="15"/>
  <c r="BH120" i="15"/>
  <c r="BI120" i="15"/>
  <c r="BJ120" i="15"/>
  <c r="BK120" i="15"/>
  <c r="BL120" i="15"/>
  <c r="BM120" i="15"/>
  <c r="BN120" i="15"/>
  <c r="BO120" i="15"/>
  <c r="BP120" i="15"/>
  <c r="BQ120" i="15"/>
  <c r="BR120" i="15"/>
  <c r="BS120" i="15"/>
  <c r="BT120" i="15"/>
  <c r="BU120" i="15"/>
  <c r="BV120" i="15"/>
  <c r="BG121" i="15"/>
  <c r="BH121" i="15"/>
  <c r="BI121" i="15"/>
  <c r="BJ121" i="15"/>
  <c r="BK121" i="15"/>
  <c r="BL121" i="15"/>
  <c r="BM121" i="15"/>
  <c r="BN121" i="15"/>
  <c r="BO121" i="15"/>
  <c r="BP121" i="15"/>
  <c r="BQ121" i="15"/>
  <c r="BR121" i="15"/>
  <c r="BS121" i="15"/>
  <c r="BT121" i="15"/>
  <c r="BU121" i="15"/>
  <c r="BV121" i="15"/>
  <c r="BG122" i="15"/>
  <c r="BH122" i="15"/>
  <c r="BI122" i="15"/>
  <c r="BJ122" i="15"/>
  <c r="BK122" i="15"/>
  <c r="BL122" i="15"/>
  <c r="BM122" i="15"/>
  <c r="BN122" i="15"/>
  <c r="BO122" i="15"/>
  <c r="BP122" i="15"/>
  <c r="BQ122" i="15"/>
  <c r="BR122" i="15"/>
  <c r="BS122" i="15"/>
  <c r="BT122" i="15"/>
  <c r="BU122" i="15"/>
  <c r="BV122" i="15"/>
  <c r="BG123" i="15"/>
  <c r="BH123" i="15"/>
  <c r="BI123" i="15"/>
  <c r="BJ123" i="15"/>
  <c r="BK123" i="15"/>
  <c r="BL123" i="15"/>
  <c r="BM123" i="15"/>
  <c r="BN123" i="15"/>
  <c r="BO123" i="15"/>
  <c r="BP123" i="15"/>
  <c r="BQ123" i="15"/>
  <c r="BR123" i="15"/>
  <c r="BS123" i="15"/>
  <c r="BT123" i="15"/>
  <c r="BU123" i="15"/>
  <c r="BV123" i="15"/>
  <c r="BG124" i="15"/>
  <c r="BH124" i="15"/>
  <c r="BI124" i="15"/>
  <c r="BJ124" i="15"/>
  <c r="BK124" i="15"/>
  <c r="BL124" i="15"/>
  <c r="BM124" i="15"/>
  <c r="BN124" i="15"/>
  <c r="BO124" i="15"/>
  <c r="BP124" i="15"/>
  <c r="BQ124" i="15"/>
  <c r="BR124" i="15"/>
  <c r="BS124" i="15"/>
  <c r="BT124" i="15"/>
  <c r="BU124" i="15"/>
  <c r="BV124" i="15"/>
  <c r="BG125" i="15"/>
  <c r="BH125" i="15"/>
  <c r="BI125" i="15"/>
  <c r="BJ125" i="15"/>
  <c r="BK125" i="15"/>
  <c r="BL125" i="15"/>
  <c r="BM125" i="15"/>
  <c r="BN125" i="15"/>
  <c r="BO125" i="15"/>
  <c r="BP125" i="15"/>
  <c r="BQ125" i="15"/>
  <c r="BR125" i="15"/>
  <c r="BS125" i="15"/>
  <c r="BT125" i="15"/>
  <c r="BU125" i="15"/>
  <c r="BV125" i="15"/>
  <c r="BG126" i="15"/>
  <c r="BH126" i="15"/>
  <c r="BI126" i="15"/>
  <c r="BJ126" i="15"/>
  <c r="BK126" i="15"/>
  <c r="BL126" i="15"/>
  <c r="BM126" i="15"/>
  <c r="BN126" i="15"/>
  <c r="BO126" i="15"/>
  <c r="BP126" i="15"/>
  <c r="BQ126" i="15"/>
  <c r="BR126" i="15"/>
  <c r="BS126" i="15"/>
  <c r="BT126" i="15"/>
  <c r="BU126" i="15"/>
  <c r="BV126" i="15"/>
  <c r="BG127" i="15"/>
  <c r="BH127" i="15"/>
  <c r="BI127" i="15"/>
  <c r="BJ127" i="15"/>
  <c r="BK127" i="15"/>
  <c r="BL127" i="15"/>
  <c r="BM127" i="15"/>
  <c r="BN127" i="15"/>
  <c r="BO127" i="15"/>
  <c r="BP127" i="15"/>
  <c r="BQ127" i="15"/>
  <c r="BR127" i="15"/>
  <c r="BS127" i="15"/>
  <c r="BT127" i="15"/>
  <c r="BU127" i="15"/>
  <c r="BV127" i="15"/>
  <c r="BG128" i="15"/>
  <c r="BH128" i="15"/>
  <c r="BI128" i="15"/>
  <c r="BJ128" i="15"/>
  <c r="BK128" i="15"/>
  <c r="BL128" i="15"/>
  <c r="BM128" i="15"/>
  <c r="BN128" i="15"/>
  <c r="BO128" i="15"/>
  <c r="BP128" i="15"/>
  <c r="BQ128" i="15"/>
  <c r="BR128" i="15"/>
  <c r="BS128" i="15"/>
  <c r="BT128" i="15"/>
  <c r="BU128" i="15"/>
  <c r="BV128" i="15"/>
  <c r="BG129" i="15"/>
  <c r="BH129" i="15"/>
  <c r="BI129" i="15"/>
  <c r="BJ129" i="15"/>
  <c r="BK129" i="15"/>
  <c r="BL129" i="15"/>
  <c r="BM129" i="15"/>
  <c r="BN129" i="15"/>
  <c r="BO129" i="15"/>
  <c r="BP129" i="15"/>
  <c r="BQ129" i="15"/>
  <c r="BR129" i="15"/>
  <c r="BS129" i="15"/>
  <c r="BT129" i="15"/>
  <c r="BU129" i="15"/>
  <c r="BV129" i="15"/>
  <c r="P68" i="15"/>
  <c r="O68" i="15"/>
  <c r="L68" i="15"/>
  <c r="C68" i="15"/>
  <c r="P67" i="15"/>
  <c r="O67" i="15"/>
  <c r="L67" i="15"/>
  <c r="C67" i="15"/>
  <c r="P66" i="15"/>
  <c r="O66" i="15"/>
  <c r="L66" i="15"/>
  <c r="C66" i="15"/>
  <c r="P65" i="15"/>
  <c r="O65" i="15"/>
  <c r="L65" i="15"/>
  <c r="C65" i="15"/>
  <c r="P64" i="15"/>
  <c r="O64" i="15"/>
  <c r="L64" i="15"/>
  <c r="C64" i="15"/>
  <c r="P63" i="15"/>
  <c r="O63" i="15"/>
  <c r="L63" i="15"/>
  <c r="C63" i="15"/>
  <c r="P62" i="15"/>
  <c r="O62" i="15"/>
  <c r="L62" i="15"/>
  <c r="C62" i="15"/>
  <c r="P61" i="15"/>
  <c r="O61" i="15"/>
  <c r="L61" i="15"/>
  <c r="C61" i="15"/>
  <c r="P60" i="15"/>
  <c r="O60" i="15"/>
  <c r="L60" i="15"/>
  <c r="C60" i="15"/>
  <c r="P59" i="15"/>
  <c r="O59" i="15"/>
  <c r="C59" i="15"/>
  <c r="P58" i="15"/>
  <c r="O58" i="15"/>
  <c r="C58" i="15"/>
  <c r="P57" i="15"/>
  <c r="O57" i="15"/>
  <c r="C57" i="15"/>
  <c r="P56" i="15"/>
  <c r="O56" i="15"/>
  <c r="C56" i="15"/>
  <c r="T50" i="15"/>
  <c r="S50" i="15"/>
  <c r="R50" i="15"/>
  <c r="Q50" i="15"/>
  <c r="P50" i="15"/>
  <c r="O50" i="15"/>
  <c r="P48" i="15"/>
  <c r="O48" i="15"/>
  <c r="L48" i="15"/>
  <c r="C48" i="15"/>
  <c r="P46" i="15"/>
  <c r="O46" i="15"/>
  <c r="L46" i="15"/>
  <c r="C46" i="15"/>
  <c r="P45" i="15"/>
  <c r="O45" i="15"/>
  <c r="L45" i="15"/>
  <c r="C45" i="15"/>
  <c r="P44" i="15"/>
  <c r="O44" i="15"/>
  <c r="L44" i="15"/>
  <c r="C44" i="15"/>
  <c r="P43" i="15"/>
  <c r="O43" i="15"/>
  <c r="L43" i="15"/>
  <c r="C43" i="15"/>
  <c r="P42" i="15"/>
  <c r="O42" i="15"/>
  <c r="L42" i="15"/>
  <c r="C42" i="15"/>
  <c r="P41" i="15"/>
  <c r="O41" i="15"/>
  <c r="L41" i="15"/>
  <c r="C41" i="15"/>
  <c r="P40" i="15"/>
  <c r="O40" i="15"/>
  <c r="L40" i="15"/>
  <c r="C40" i="15"/>
  <c r="P39" i="15"/>
  <c r="O39" i="15"/>
  <c r="L39" i="15"/>
  <c r="C39" i="15"/>
  <c r="P38" i="15"/>
  <c r="O38" i="15"/>
  <c r="L38" i="15"/>
  <c r="C38" i="15"/>
  <c r="P37" i="15"/>
  <c r="O37" i="15"/>
  <c r="L37" i="15"/>
  <c r="C37" i="15"/>
  <c r="P36" i="15"/>
  <c r="O36" i="15"/>
  <c r="L36" i="15"/>
  <c r="C36" i="15"/>
  <c r="P35" i="15"/>
  <c r="O35" i="15"/>
  <c r="L35" i="15"/>
  <c r="C35" i="15"/>
  <c r="P34" i="15"/>
  <c r="O34" i="15"/>
  <c r="L34" i="15"/>
  <c r="C34" i="15"/>
  <c r="P33" i="15"/>
  <c r="O33" i="15"/>
  <c r="L33" i="15"/>
  <c r="C33" i="15"/>
  <c r="P32" i="15"/>
  <c r="O32" i="15"/>
  <c r="L32" i="15"/>
  <c r="C32" i="15"/>
  <c r="P31" i="15"/>
  <c r="O31" i="15"/>
  <c r="L31" i="15"/>
  <c r="C31" i="15"/>
  <c r="P30" i="15"/>
  <c r="C30" i="15"/>
  <c r="O30" i="15" s="1"/>
  <c r="P29" i="15"/>
  <c r="O29" i="15"/>
  <c r="C29" i="15"/>
  <c r="B3" i="15"/>
  <c r="L59" i="15" l="1"/>
  <c r="N50" i="16"/>
  <c r="N51" i="16"/>
  <c r="N52" i="16"/>
  <c r="N53" i="16"/>
  <c r="N54" i="16"/>
  <c r="N55" i="16"/>
  <c r="N56" i="16"/>
  <c r="N57" i="16"/>
  <c r="N58" i="16"/>
  <c r="N59" i="16"/>
  <c r="N60" i="16"/>
  <c r="N61" i="16"/>
  <c r="N62" i="16"/>
  <c r="N63" i="16"/>
  <c r="N64" i="16"/>
  <c r="N65" i="16"/>
  <c r="N66" i="16"/>
  <c r="N67" i="16"/>
  <c r="N68" i="16"/>
  <c r="O23" i="16"/>
  <c r="O24" i="16"/>
  <c r="L25" i="16"/>
  <c r="N25" i="16"/>
  <c r="O25" i="16"/>
  <c r="R25" i="16" s="1"/>
  <c r="V25" i="16" s="1"/>
  <c r="N26" i="16"/>
  <c r="O26" i="16"/>
  <c r="R26" i="16" s="1"/>
  <c r="V26" i="16" s="1"/>
  <c r="L27" i="16"/>
  <c r="N27" i="16"/>
  <c r="O27" i="16"/>
  <c r="R27" i="16" s="1"/>
  <c r="V27" i="16" s="1"/>
  <c r="L28" i="16"/>
  <c r="N28" i="16"/>
  <c r="O28" i="16"/>
  <c r="R28" i="16" s="1"/>
  <c r="V28" i="16" s="1"/>
  <c r="L29" i="16"/>
  <c r="N29" i="16"/>
  <c r="O29" i="16"/>
  <c r="R29" i="16" s="1"/>
  <c r="V29" i="16" s="1"/>
  <c r="N30" i="16"/>
  <c r="O30" i="16"/>
  <c r="R30" i="16" s="1"/>
  <c r="V30" i="16" s="1"/>
  <c r="L31" i="16"/>
  <c r="N31" i="16"/>
  <c r="O31" i="16"/>
  <c r="R31" i="16" s="1"/>
  <c r="V31" i="16" s="1"/>
  <c r="L32" i="16"/>
  <c r="N32" i="16"/>
  <c r="O32" i="16"/>
  <c r="R32" i="16" s="1"/>
  <c r="V32" i="16" s="1"/>
  <c r="L33" i="16"/>
  <c r="N33" i="16"/>
  <c r="O33" i="16"/>
  <c r="R33" i="16" s="1"/>
  <c r="V33" i="16" s="1"/>
  <c r="L34" i="16"/>
  <c r="N34" i="16"/>
  <c r="O34" i="16"/>
  <c r="R34" i="16" s="1"/>
  <c r="V34" i="16" s="1"/>
  <c r="L35" i="16"/>
  <c r="N35" i="16"/>
  <c r="O35" i="16"/>
  <c r="R35" i="16" s="1"/>
  <c r="V35" i="16" s="1"/>
  <c r="L36" i="16"/>
  <c r="N36" i="16"/>
  <c r="O36" i="16"/>
  <c r="R36" i="16" s="1"/>
  <c r="V36" i="16" s="1"/>
  <c r="L37" i="16"/>
  <c r="N37" i="16"/>
  <c r="O37" i="16"/>
  <c r="R37" i="16" s="1"/>
  <c r="V37" i="16" s="1"/>
  <c r="L38" i="16"/>
  <c r="N38" i="16"/>
  <c r="O38" i="16"/>
  <c r="R38" i="16" s="1"/>
  <c r="V38" i="16" s="1"/>
  <c r="L39" i="16"/>
  <c r="N39" i="16"/>
  <c r="O39" i="16"/>
  <c r="R39" i="16" s="1"/>
  <c r="V39" i="16" s="1"/>
  <c r="L40" i="16"/>
  <c r="N40" i="16"/>
  <c r="O40" i="16"/>
  <c r="R40" i="16" s="1"/>
  <c r="V40" i="16" s="1"/>
  <c r="L41" i="16"/>
  <c r="N41" i="16"/>
  <c r="O41" i="16"/>
  <c r="R41" i="16" s="1"/>
  <c r="V41" i="16" s="1"/>
  <c r="P138" i="15"/>
  <c r="P139" i="15"/>
  <c r="P140" i="15"/>
  <c r="P141" i="15"/>
  <c r="P142" i="15"/>
  <c r="P143" i="15"/>
  <c r="P144" i="15"/>
  <c r="P145" i="15"/>
  <c r="P146" i="15"/>
  <c r="P147" i="15"/>
  <c r="O148" i="15"/>
  <c r="P148" i="15"/>
  <c r="S148" i="15" s="1"/>
  <c r="W148" i="15" s="1"/>
  <c r="O149" i="15"/>
  <c r="P149" i="15"/>
  <c r="S149" i="15" s="1"/>
  <c r="W149" i="15" s="1"/>
  <c r="O150" i="15"/>
  <c r="P150" i="15"/>
  <c r="S150" i="15" s="1"/>
  <c r="W150" i="15" s="1"/>
  <c r="O151" i="15"/>
  <c r="P151" i="15"/>
  <c r="O152" i="15"/>
  <c r="P152" i="15"/>
  <c r="S152" i="15" s="1"/>
  <c r="W152" i="15" s="1"/>
  <c r="O153" i="15"/>
  <c r="P153" i="15"/>
  <c r="S153" i="15" s="1"/>
  <c r="W153" i="15" s="1"/>
  <c r="O154" i="15"/>
  <c r="P154" i="15"/>
  <c r="S154" i="15" s="1"/>
  <c r="W154" i="15" s="1"/>
  <c r="O155" i="15"/>
  <c r="P155" i="15"/>
  <c r="O156" i="15"/>
  <c r="P156" i="15"/>
  <c r="S156" i="15" s="1"/>
  <c r="W156" i="15" s="1"/>
  <c r="P165" i="15"/>
  <c r="P166" i="15"/>
  <c r="O167" i="15"/>
  <c r="P167" i="15"/>
  <c r="S167" i="15" s="1"/>
  <c r="W167" i="15" s="1"/>
  <c r="O168" i="15"/>
  <c r="P168" i="15"/>
  <c r="S168" i="15" s="1"/>
  <c r="W168" i="15" s="1"/>
  <c r="O169" i="15"/>
  <c r="P169" i="15"/>
  <c r="S169" i="15" s="1"/>
  <c r="W169" i="15" s="1"/>
  <c r="O170" i="15"/>
  <c r="P170" i="15"/>
  <c r="S170" i="15" s="1"/>
  <c r="W170" i="15" s="1"/>
  <c r="O171" i="15"/>
  <c r="P171" i="15"/>
  <c r="S171" i="15" s="1"/>
  <c r="W171" i="15" s="1"/>
  <c r="O172" i="15"/>
  <c r="P172" i="15"/>
  <c r="S172" i="15" s="1"/>
  <c r="W172" i="15" s="1"/>
  <c r="O173" i="15"/>
  <c r="P173" i="15"/>
  <c r="S173" i="15" s="1"/>
  <c r="W173" i="15" s="1"/>
  <c r="O174" i="15"/>
  <c r="P174" i="15"/>
  <c r="S174" i="15" s="1"/>
  <c r="W174" i="15" s="1"/>
  <c r="O175" i="15"/>
  <c r="P175" i="15"/>
  <c r="S175" i="15" s="1"/>
  <c r="W175" i="15" s="1"/>
  <c r="O176" i="15"/>
  <c r="P176" i="15"/>
  <c r="S176" i="15" s="1"/>
  <c r="W176" i="15" s="1"/>
  <c r="O177" i="15"/>
  <c r="P177" i="15"/>
  <c r="S177" i="15" s="1"/>
  <c r="W177" i="15" s="1"/>
  <c r="O178" i="15"/>
  <c r="P178" i="15"/>
  <c r="S178" i="15" s="1"/>
  <c r="W178" i="15" s="1"/>
  <c r="O179" i="15"/>
  <c r="P179" i="15"/>
  <c r="S179" i="15" s="1"/>
  <c r="W179" i="15" s="1"/>
  <c r="O180" i="15"/>
  <c r="P180" i="15"/>
  <c r="S180" i="15" s="1"/>
  <c r="W180" i="15" s="1"/>
  <c r="O181" i="15"/>
  <c r="P181" i="15"/>
  <c r="S181" i="15" s="1"/>
  <c r="W181" i="15" s="1"/>
  <c r="O182" i="15"/>
  <c r="P182" i="15"/>
  <c r="S182" i="15" s="1"/>
  <c r="W182" i="15" s="1"/>
  <c r="O183" i="15"/>
  <c r="P183" i="15"/>
  <c r="S183" i="15" s="1"/>
  <c r="W183" i="15" s="1"/>
  <c r="P192" i="15"/>
  <c r="P193" i="15"/>
  <c r="P194" i="15"/>
  <c r="P195" i="15"/>
  <c r="P196" i="15"/>
  <c r="O197" i="15"/>
  <c r="P197" i="15"/>
  <c r="S197" i="15" s="1"/>
  <c r="W197" i="15" s="1"/>
  <c r="O198" i="15"/>
  <c r="P198" i="15"/>
  <c r="S198" i="15" s="1"/>
  <c r="W198" i="15" s="1"/>
  <c r="O199" i="15"/>
  <c r="P199" i="15"/>
  <c r="S199" i="15" s="1"/>
  <c r="W199" i="15" s="1"/>
  <c r="O200" i="15"/>
  <c r="P200" i="15"/>
  <c r="S200" i="15" s="1"/>
  <c r="W200" i="15" s="1"/>
  <c r="O201" i="15"/>
  <c r="P201" i="15"/>
  <c r="S201" i="15" s="1"/>
  <c r="W201" i="15" s="1"/>
  <c r="O202" i="15"/>
  <c r="P202" i="15"/>
  <c r="S202" i="15" s="1"/>
  <c r="W202" i="15" s="1"/>
  <c r="O203" i="15"/>
  <c r="P203" i="15"/>
  <c r="S203" i="15" s="1"/>
  <c r="W203" i="15" s="1"/>
  <c r="O204" i="15"/>
  <c r="P204" i="15"/>
  <c r="S204" i="15" s="1"/>
  <c r="W204" i="15" s="1"/>
  <c r="O205" i="15"/>
  <c r="P205" i="15"/>
  <c r="S205" i="15" s="1"/>
  <c r="W205" i="15" s="1"/>
  <c r="O206" i="15"/>
  <c r="P206" i="15"/>
  <c r="S206" i="15" s="1"/>
  <c r="W206" i="15" s="1"/>
  <c r="O207" i="15"/>
  <c r="P207" i="15"/>
  <c r="S207" i="15" s="1"/>
  <c r="W207" i="15" s="1"/>
  <c r="O208" i="15"/>
  <c r="P208" i="15"/>
  <c r="S208" i="15" s="1"/>
  <c r="W208" i="15" s="1"/>
  <c r="O209" i="15"/>
  <c r="P209" i="15"/>
  <c r="S209" i="15" s="1"/>
  <c r="W209" i="15" s="1"/>
  <c r="O210" i="15"/>
  <c r="P210" i="15"/>
  <c r="S210" i="15" s="1"/>
  <c r="W210" i="15" s="1"/>
  <c r="O220" i="15"/>
  <c r="O221" i="15"/>
  <c r="O222" i="15"/>
  <c r="O223" i="15"/>
  <c r="O224" i="15"/>
  <c r="O225" i="15"/>
  <c r="O226" i="15"/>
  <c r="O227" i="15"/>
  <c r="O228" i="15"/>
  <c r="O229" i="15"/>
  <c r="O230" i="15"/>
  <c r="O231" i="15"/>
  <c r="O232" i="15"/>
  <c r="O233" i="15"/>
  <c r="O234" i="15"/>
  <c r="O235" i="15"/>
  <c r="O236" i="15"/>
  <c r="O237" i="15"/>
  <c r="P111" i="15"/>
  <c r="P112" i="15"/>
  <c r="O113" i="15"/>
  <c r="P113" i="15"/>
  <c r="O114" i="15"/>
  <c r="P114" i="15"/>
  <c r="O115" i="15"/>
  <c r="P115" i="15"/>
  <c r="O116" i="15"/>
  <c r="P116" i="15"/>
  <c r="O117" i="15"/>
  <c r="P117" i="15"/>
  <c r="O118" i="15"/>
  <c r="P118" i="15"/>
  <c r="O119" i="15"/>
  <c r="P119" i="15"/>
  <c r="O120" i="15"/>
  <c r="P120" i="15"/>
  <c r="O121" i="15"/>
  <c r="P121" i="15"/>
  <c r="O122" i="15"/>
  <c r="P122" i="15"/>
  <c r="O123" i="15"/>
  <c r="P123" i="15"/>
  <c r="O124" i="15"/>
  <c r="P124" i="15"/>
  <c r="O125" i="15"/>
  <c r="P125" i="15"/>
  <c r="O126" i="15"/>
  <c r="P126" i="15"/>
  <c r="O127" i="15"/>
  <c r="P127" i="15"/>
  <c r="O128" i="15"/>
  <c r="P128" i="15"/>
  <c r="O129" i="15"/>
  <c r="P129" i="15"/>
  <c r="O85" i="15"/>
  <c r="O86" i="15"/>
  <c r="O87" i="15"/>
  <c r="O88" i="15"/>
  <c r="O89" i="15"/>
  <c r="O90" i="15"/>
  <c r="O91" i="15"/>
  <c r="O92" i="15"/>
  <c r="O93" i="15"/>
  <c r="O94" i="15"/>
  <c r="O95" i="15"/>
  <c r="O96" i="15"/>
  <c r="O97" i="15"/>
  <c r="O98" i="15"/>
  <c r="O99" i="15"/>
  <c r="O100" i="15"/>
  <c r="O101" i="15"/>
  <c r="O102" i="15"/>
  <c r="O69" i="15"/>
  <c r="P69" i="15"/>
  <c r="O70" i="15"/>
  <c r="P70" i="15"/>
  <c r="O71" i="15"/>
  <c r="P71" i="15"/>
  <c r="O72" i="15"/>
  <c r="P72" i="15"/>
  <c r="O73" i="15"/>
  <c r="P73" i="15"/>
  <c r="O74" i="15"/>
  <c r="P74" i="15"/>
  <c r="O75" i="15"/>
  <c r="P75" i="15"/>
  <c r="A309" i="14"/>
  <c r="A310" i="14"/>
  <c r="A311" i="14"/>
  <c r="A312" i="14"/>
  <c r="A313" i="14"/>
  <c r="D309" i="14"/>
  <c r="C309" i="14" s="1"/>
  <c r="P309" i="14"/>
  <c r="Q309" i="14"/>
  <c r="D310" i="14"/>
  <c r="C310" i="14" s="1"/>
  <c r="P310" i="14"/>
  <c r="Q310" i="14"/>
  <c r="D311" i="14"/>
  <c r="C311" i="14" s="1"/>
  <c r="P311" i="14"/>
  <c r="Q311" i="14"/>
  <c r="D312" i="14"/>
  <c r="C312" i="14" s="1"/>
  <c r="P312" i="14"/>
  <c r="Q312" i="14"/>
  <c r="D313" i="14"/>
  <c r="C313" i="14" s="1"/>
  <c r="P313" i="14"/>
  <c r="Q313" i="14"/>
  <c r="A274" i="14"/>
  <c r="A275" i="14"/>
  <c r="A276" i="14"/>
  <c r="A277" i="14"/>
  <c r="A278" i="14"/>
  <c r="D274" i="14"/>
  <c r="C274" i="14" s="1"/>
  <c r="N274" i="14"/>
  <c r="O274" i="14"/>
  <c r="P274" i="14"/>
  <c r="D275" i="14"/>
  <c r="C275" i="14" s="1"/>
  <c r="N275" i="14"/>
  <c r="O275" i="14"/>
  <c r="P275" i="14"/>
  <c r="D276" i="14"/>
  <c r="C276" i="14" s="1"/>
  <c r="N276" i="14"/>
  <c r="O276" i="14"/>
  <c r="P276" i="14"/>
  <c r="D277" i="14"/>
  <c r="C277" i="14" s="1"/>
  <c r="N277" i="14"/>
  <c r="O277" i="14"/>
  <c r="P277" i="14"/>
  <c r="D278" i="14"/>
  <c r="C278" i="14" s="1"/>
  <c r="N278" i="14"/>
  <c r="O278" i="14"/>
  <c r="P278" i="14"/>
  <c r="A260" i="14"/>
  <c r="A261" i="14"/>
  <c r="A262" i="14"/>
  <c r="A263" i="14"/>
  <c r="A264" i="14"/>
  <c r="D260" i="14"/>
  <c r="C260" i="14" s="1"/>
  <c r="P260" i="14"/>
  <c r="Q260" i="14"/>
  <c r="R260" i="14"/>
  <c r="D261" i="14"/>
  <c r="C261" i="14" s="1"/>
  <c r="P261" i="14"/>
  <c r="Q261" i="14"/>
  <c r="R261" i="14"/>
  <c r="D262" i="14"/>
  <c r="C262" i="14" s="1"/>
  <c r="P262" i="14"/>
  <c r="Q262" i="14"/>
  <c r="R262" i="14"/>
  <c r="D263" i="14"/>
  <c r="C263" i="14" s="1"/>
  <c r="P263" i="14"/>
  <c r="Q263" i="14"/>
  <c r="R263" i="14"/>
  <c r="D264" i="14"/>
  <c r="C264" i="14" s="1"/>
  <c r="P264" i="14"/>
  <c r="Q264" i="14"/>
  <c r="R264" i="14"/>
  <c r="A234" i="14"/>
  <c r="A235" i="14"/>
  <c r="A236" i="14"/>
  <c r="A237" i="14"/>
  <c r="A238" i="14"/>
  <c r="D234" i="14"/>
  <c r="C234" i="14" s="1"/>
  <c r="N234" i="14"/>
  <c r="O234" i="14"/>
  <c r="P234" i="14"/>
  <c r="D235" i="14"/>
  <c r="C235" i="14" s="1"/>
  <c r="N235" i="14"/>
  <c r="O235" i="14"/>
  <c r="P235" i="14"/>
  <c r="D236" i="14"/>
  <c r="C236" i="14" s="1"/>
  <c r="N236" i="14"/>
  <c r="O236" i="14"/>
  <c r="P236" i="14"/>
  <c r="D237" i="14"/>
  <c r="C237" i="14" s="1"/>
  <c r="N237" i="14"/>
  <c r="O237" i="14"/>
  <c r="P237" i="14"/>
  <c r="D238" i="14"/>
  <c r="C238" i="14" s="1"/>
  <c r="N238" i="14"/>
  <c r="O238" i="14"/>
  <c r="P238" i="14"/>
  <c r="A216" i="14"/>
  <c r="A217" i="14"/>
  <c r="A218" i="14"/>
  <c r="A219" i="14"/>
  <c r="A220" i="14"/>
  <c r="D216" i="14"/>
  <c r="C216" i="14" s="1"/>
  <c r="O216" i="14"/>
  <c r="P216" i="14"/>
  <c r="Q216" i="14"/>
  <c r="D217" i="14"/>
  <c r="C217" i="14" s="1"/>
  <c r="O217" i="14"/>
  <c r="P217" i="14"/>
  <c r="Q217" i="14"/>
  <c r="D218" i="14"/>
  <c r="C218" i="14" s="1"/>
  <c r="O218" i="14"/>
  <c r="P218" i="14"/>
  <c r="Q218" i="14"/>
  <c r="D219" i="14"/>
  <c r="C219" i="14" s="1"/>
  <c r="O219" i="14"/>
  <c r="P219" i="14"/>
  <c r="Q219" i="14"/>
  <c r="D220" i="14"/>
  <c r="C220" i="14" s="1"/>
  <c r="O220" i="14"/>
  <c r="P220" i="14"/>
  <c r="Q220" i="14"/>
  <c r="A189" i="14"/>
  <c r="A190" i="14"/>
  <c r="A191" i="14"/>
  <c r="A192" i="14"/>
  <c r="A193" i="14"/>
  <c r="C189" i="14"/>
  <c r="P189" i="14"/>
  <c r="Q189" i="14"/>
  <c r="R189" i="14"/>
  <c r="C190" i="14"/>
  <c r="P190" i="14"/>
  <c r="Q190" i="14"/>
  <c r="R190" i="14"/>
  <c r="C191" i="14"/>
  <c r="P191" i="14"/>
  <c r="Q191" i="14"/>
  <c r="R191" i="14"/>
  <c r="C192" i="14"/>
  <c r="P192" i="14"/>
  <c r="Q192" i="14"/>
  <c r="R192" i="14"/>
  <c r="C193" i="14"/>
  <c r="P193" i="14"/>
  <c r="Q193" i="14"/>
  <c r="R193" i="14"/>
  <c r="A163" i="14"/>
  <c r="A164" i="14"/>
  <c r="A165" i="14"/>
  <c r="A166" i="14"/>
  <c r="A167" i="14"/>
  <c r="C163" i="14"/>
  <c r="P163" i="14"/>
  <c r="Q163" i="14"/>
  <c r="R163" i="14"/>
  <c r="C164" i="14"/>
  <c r="P164" i="14"/>
  <c r="Q164" i="14"/>
  <c r="R164" i="14"/>
  <c r="C165" i="14"/>
  <c r="P165" i="14"/>
  <c r="Q165" i="14"/>
  <c r="R165" i="14"/>
  <c r="C166" i="14"/>
  <c r="P166" i="14"/>
  <c r="Q166" i="14"/>
  <c r="R166" i="14"/>
  <c r="C167" i="14"/>
  <c r="P167" i="14"/>
  <c r="Q167" i="14"/>
  <c r="R167" i="14"/>
  <c r="A143" i="14"/>
  <c r="A144" i="14"/>
  <c r="A145" i="14"/>
  <c r="A146" i="14"/>
  <c r="A147" i="14"/>
  <c r="C143" i="14"/>
  <c r="P143" i="14"/>
  <c r="Q143" i="14"/>
  <c r="R143" i="14"/>
  <c r="C144" i="14"/>
  <c r="P144" i="14"/>
  <c r="Q144" i="14"/>
  <c r="R144" i="14"/>
  <c r="C145" i="14"/>
  <c r="P145" i="14"/>
  <c r="Q145" i="14"/>
  <c r="R145" i="14"/>
  <c r="C146" i="14"/>
  <c r="P146" i="14"/>
  <c r="Q146" i="14"/>
  <c r="R146" i="14"/>
  <c r="C147" i="14"/>
  <c r="P147" i="14"/>
  <c r="Q147" i="14"/>
  <c r="R147" i="14"/>
  <c r="A112" i="14"/>
  <c r="A113" i="14"/>
  <c r="A114" i="14"/>
  <c r="A115" i="14"/>
  <c r="A116" i="14"/>
  <c r="D112" i="14"/>
  <c r="C112" i="14" s="1"/>
  <c r="D113" i="14"/>
  <c r="C113" i="14" s="1"/>
  <c r="D114" i="14"/>
  <c r="C114" i="14" s="1"/>
  <c r="D115" i="14"/>
  <c r="C115" i="14" s="1"/>
  <c r="D116" i="14"/>
  <c r="C116" i="14" s="1"/>
  <c r="A95" i="14"/>
  <c r="A96" i="14"/>
  <c r="A97" i="14"/>
  <c r="A98" i="14"/>
  <c r="A99" i="14"/>
  <c r="D95" i="14"/>
  <c r="C95" i="14" s="1"/>
  <c r="AE95" i="14"/>
  <c r="AF95" i="14"/>
  <c r="AG95" i="14"/>
  <c r="D96" i="14"/>
  <c r="C96" i="14" s="1"/>
  <c r="AE96" i="14"/>
  <c r="AF96" i="14"/>
  <c r="AG96" i="14"/>
  <c r="D97" i="14"/>
  <c r="C97" i="14" s="1"/>
  <c r="AE97" i="14"/>
  <c r="AF97" i="14"/>
  <c r="AG97" i="14"/>
  <c r="D98" i="14"/>
  <c r="C98" i="14" s="1"/>
  <c r="AE98" i="14"/>
  <c r="AF98" i="14"/>
  <c r="AG98" i="14"/>
  <c r="D99" i="14"/>
  <c r="C99" i="14" s="1"/>
  <c r="AE99" i="14"/>
  <c r="AF99" i="14"/>
  <c r="AG99" i="14"/>
  <c r="A40" i="14"/>
  <c r="A41" i="14"/>
  <c r="A42" i="14"/>
  <c r="A43" i="14"/>
  <c r="A44" i="14"/>
  <c r="D40" i="14"/>
  <c r="C40" i="14" s="1"/>
  <c r="D41" i="14"/>
  <c r="C41" i="14" s="1"/>
  <c r="D42" i="14"/>
  <c r="C42" i="14" s="1"/>
  <c r="D43" i="14"/>
  <c r="C43" i="14" s="1"/>
  <c r="D44" i="14"/>
  <c r="C44" i="14" s="1"/>
  <c r="A24" i="14"/>
  <c r="A25" i="14"/>
  <c r="A26" i="14"/>
  <c r="A27" i="14"/>
  <c r="A28" i="14"/>
  <c r="D24" i="14"/>
  <c r="C24" i="14" s="1"/>
  <c r="D25" i="14"/>
  <c r="C25" i="14" s="1"/>
  <c r="D26" i="14"/>
  <c r="C26" i="14" s="1"/>
  <c r="D27" i="14"/>
  <c r="C27" i="14" s="1"/>
  <c r="D28" i="14"/>
  <c r="C28" i="14" s="1"/>
  <c r="AH23" i="26"/>
  <c r="AH22" i="26"/>
  <c r="G23" i="26"/>
  <c r="G22" i="26"/>
  <c r="AE11" i="26"/>
  <c r="D11" i="26"/>
  <c r="AH144" i="26"/>
  <c r="AG144" i="26"/>
  <c r="AH143" i="26"/>
  <c r="AG143" i="26"/>
  <c r="AH142" i="26"/>
  <c r="AG142" i="26"/>
  <c r="AH141" i="26"/>
  <c r="AG141" i="26"/>
  <c r="AH24" i="26"/>
  <c r="AH21" i="26"/>
  <c r="AG161" i="26"/>
  <c r="AF161" i="26"/>
  <c r="AE161" i="26"/>
  <c r="AG160" i="26"/>
  <c r="AF160" i="26"/>
  <c r="AE160" i="26"/>
  <c r="AG159" i="26"/>
  <c r="AF159" i="26"/>
  <c r="AE159" i="26"/>
  <c r="AG158" i="26"/>
  <c r="AF158" i="26"/>
  <c r="AE158" i="26"/>
  <c r="AF197" i="26"/>
  <c r="AF199" i="26"/>
  <c r="E197" i="26"/>
  <c r="E199" i="26"/>
  <c r="AE219" i="26"/>
  <c r="AE173" i="26"/>
  <c r="AK161" i="26"/>
  <c r="AJ161" i="26"/>
  <c r="AG156" i="26"/>
  <c r="AF156" i="26"/>
  <c r="AE156" i="26"/>
  <c r="AG154" i="26"/>
  <c r="AF154" i="26"/>
  <c r="AE154" i="26"/>
  <c r="AE146" i="26"/>
  <c r="AE133" i="26"/>
  <c r="S155" i="15" l="1"/>
  <c r="W155" i="15" s="1"/>
  <c r="S151" i="15"/>
  <c r="W151" i="15" s="1"/>
  <c r="AH160" i="26"/>
  <c r="AH161" i="26"/>
  <c r="AE162" i="26"/>
  <c r="AF162" i="26"/>
  <c r="AH159" i="26"/>
  <c r="AG162" i="26"/>
  <c r="AH158" i="26"/>
  <c r="AF79" i="26"/>
  <c r="E79" i="26"/>
  <c r="O22" i="16"/>
  <c r="P191" i="15"/>
  <c r="P164" i="15"/>
  <c r="P110" i="15"/>
  <c r="AH162" i="26" l="1"/>
  <c r="AE137" i="26" s="1"/>
  <c r="AH137" i="26" s="1"/>
  <c r="P137" i="15"/>
  <c r="D257" i="14"/>
  <c r="C257" i="14" s="1"/>
  <c r="D258" i="14"/>
  <c r="C258" i="14" s="1"/>
  <c r="D254" i="14"/>
  <c r="C254" i="14" s="1"/>
  <c r="D255" i="14"/>
  <c r="C255" i="14" s="1"/>
  <c r="C181" i="14"/>
  <c r="C182" i="14"/>
  <c r="D173" i="14"/>
  <c r="C173" i="14" s="1"/>
  <c r="C174" i="14"/>
  <c r="C175" i="14"/>
  <c r="C176" i="14"/>
  <c r="C177" i="14"/>
  <c r="C178" i="14"/>
  <c r="C179" i="14"/>
  <c r="C180" i="14"/>
  <c r="C183" i="14"/>
  <c r="C184" i="14"/>
  <c r="C185" i="14"/>
  <c r="C186" i="14"/>
  <c r="C187" i="14"/>
  <c r="C188" i="14"/>
  <c r="C194" i="14"/>
  <c r="C195" i="14"/>
  <c r="C196" i="14"/>
  <c r="C197" i="14"/>
  <c r="C134" i="14"/>
  <c r="C135" i="14"/>
  <c r="C131" i="14"/>
  <c r="C132" i="14"/>
  <c r="C18" i="30"/>
  <c r="C14" i="30"/>
  <c r="AF242" i="26"/>
  <c r="AF241" i="26"/>
  <c r="AF236" i="26"/>
  <c r="AF231" i="26"/>
  <c r="AF230" i="26"/>
  <c r="AF229" i="26"/>
  <c r="AF228" i="26"/>
  <c r="AF227" i="26"/>
  <c r="AF226" i="26"/>
  <c r="AF225" i="26"/>
  <c r="AF224" i="26"/>
  <c r="AO161" i="26"/>
  <c r="AN161" i="26"/>
  <c r="AM161" i="26"/>
  <c r="AL161" i="26"/>
  <c r="AO160" i="26"/>
  <c r="AN160" i="26"/>
  <c r="AM160" i="26"/>
  <c r="AL160" i="26"/>
  <c r="AO159" i="26"/>
  <c r="AN159" i="26"/>
  <c r="AM159" i="26"/>
  <c r="AL159" i="26"/>
  <c r="AO158" i="26"/>
  <c r="AN158" i="26"/>
  <c r="AM158" i="26"/>
  <c r="AL158" i="26"/>
  <c r="AO156" i="26"/>
  <c r="AN156" i="26"/>
  <c r="AM156" i="26"/>
  <c r="AL156" i="26"/>
  <c r="AO155" i="26"/>
  <c r="AN155" i="26"/>
  <c r="AM155" i="26"/>
  <c r="AL155" i="26"/>
  <c r="AO154" i="26"/>
  <c r="AN154" i="26"/>
  <c r="AM154" i="26"/>
  <c r="AL154" i="26"/>
  <c r="AO153" i="26"/>
  <c r="AN153" i="26"/>
  <c r="AM153" i="26"/>
  <c r="AL153" i="26"/>
  <c r="AO152" i="26"/>
  <c r="AN152" i="26"/>
  <c r="AM152" i="26"/>
  <c r="AL152" i="26"/>
  <c r="AO151" i="26"/>
  <c r="AN151" i="26"/>
  <c r="AM151" i="26"/>
  <c r="AL151" i="26"/>
  <c r="AO150" i="26"/>
  <c r="AN150" i="26"/>
  <c r="AM150" i="26"/>
  <c r="AL150" i="26"/>
  <c r="AO149" i="26"/>
  <c r="AN149" i="26"/>
  <c r="AM149" i="26"/>
  <c r="AL149" i="26"/>
  <c r="AF125" i="26"/>
  <c r="AF119" i="26"/>
  <c r="AF114" i="26"/>
  <c r="AF113" i="26"/>
  <c r="AF112" i="26"/>
  <c r="AF111" i="26"/>
  <c r="AF110" i="26"/>
  <c r="AF109" i="26"/>
  <c r="AF108" i="26"/>
  <c r="AF107" i="26"/>
  <c r="AK72" i="26"/>
  <c r="AK71" i="26"/>
  <c r="AK70" i="26"/>
  <c r="AK69" i="26"/>
  <c r="AK68" i="26"/>
  <c r="AK67" i="26"/>
  <c r="AK66" i="26"/>
  <c r="AK63" i="26"/>
  <c r="AK62" i="26"/>
  <c r="AK59" i="26"/>
  <c r="AK58" i="26"/>
  <c r="AK57" i="26"/>
  <c r="AO41" i="26"/>
  <c r="AN41" i="26"/>
  <c r="AM41" i="26"/>
  <c r="AL41" i="26"/>
  <c r="AO40" i="26"/>
  <c r="AN40" i="26"/>
  <c r="AM40" i="26"/>
  <c r="AL40" i="26"/>
  <c r="AO39" i="26"/>
  <c r="AN39" i="26"/>
  <c r="AM39" i="26"/>
  <c r="AL39" i="26"/>
  <c r="AO38" i="26"/>
  <c r="AN38" i="26"/>
  <c r="AM38" i="26"/>
  <c r="AL38" i="26"/>
  <c r="AO36" i="26"/>
  <c r="AN36" i="26"/>
  <c r="AM36" i="26"/>
  <c r="AL36" i="26"/>
  <c r="AO35" i="26"/>
  <c r="AN35" i="26"/>
  <c r="AM35" i="26"/>
  <c r="AL35" i="26"/>
  <c r="AO34" i="26"/>
  <c r="AN34" i="26"/>
  <c r="AM34" i="26"/>
  <c r="AL34" i="26"/>
  <c r="AO33" i="26"/>
  <c r="AN33" i="26"/>
  <c r="AM33" i="26"/>
  <c r="AL33" i="26"/>
  <c r="AO32" i="26"/>
  <c r="AN32" i="26"/>
  <c r="AM32" i="26"/>
  <c r="AL32" i="26"/>
  <c r="AO31" i="26"/>
  <c r="AN31" i="26"/>
  <c r="AM31" i="26"/>
  <c r="AL31" i="26"/>
  <c r="AO30" i="26"/>
  <c r="AN30" i="26"/>
  <c r="AM30" i="26"/>
  <c r="AL30" i="26"/>
  <c r="AO29" i="26"/>
  <c r="AN29" i="26"/>
  <c r="AM29" i="26"/>
  <c r="AL29" i="26"/>
  <c r="AE53" i="26"/>
  <c r="AF179" i="26" l="1"/>
  <c r="AF178" i="26"/>
  <c r="AF177" i="26"/>
  <c r="AE189" i="26"/>
  <c r="AE192" i="26"/>
  <c r="AE191" i="26"/>
  <c r="AE188" i="26"/>
  <c r="R206" i="15"/>
  <c r="V206" i="15" s="1"/>
  <c r="T200" i="15"/>
  <c r="X200" i="15" s="1"/>
  <c r="Q203" i="15"/>
  <c r="U203" i="15" s="1"/>
  <c r="Q205" i="15"/>
  <c r="U205" i="15" s="1"/>
  <c r="R203" i="15"/>
  <c r="V203" i="15" s="1"/>
  <c r="R205" i="15"/>
  <c r="V205" i="15" s="1"/>
  <c r="T206" i="15"/>
  <c r="X206" i="15" s="1"/>
  <c r="R199" i="15"/>
  <c r="V199" i="15" s="1"/>
  <c r="R197" i="15"/>
  <c r="V197" i="15" s="1"/>
  <c r="T199" i="15"/>
  <c r="X199" i="15" s="1"/>
  <c r="R202" i="15"/>
  <c r="V202" i="15" s="1"/>
  <c r="R210" i="15"/>
  <c r="V210" i="15" s="1"/>
  <c r="Q199" i="15"/>
  <c r="U199" i="15" s="1"/>
  <c r="Q207" i="15"/>
  <c r="U207" i="15" s="1"/>
  <c r="T205" i="15"/>
  <c r="X205" i="15" s="1"/>
  <c r="T197" i="15"/>
  <c r="X197" i="15" s="1"/>
  <c r="T203" i="15"/>
  <c r="X203" i="15" s="1"/>
  <c r="Q201" i="15"/>
  <c r="U201" i="15" s="1"/>
  <c r="Q208" i="15"/>
  <c r="U208" i="15" s="1"/>
  <c r="R204" i="15"/>
  <c r="V204" i="15" s="1"/>
  <c r="Q197" i="15"/>
  <c r="U197" i="15" s="1"/>
  <c r="R200" i="15"/>
  <c r="V200" i="15" s="1"/>
  <c r="R207" i="15"/>
  <c r="V207" i="15" s="1"/>
  <c r="T208" i="15"/>
  <c r="X208" i="15" s="1"/>
  <c r="T207" i="15"/>
  <c r="X207" i="15" s="1"/>
  <c r="T204" i="15"/>
  <c r="X204" i="15" s="1"/>
  <c r="R209" i="15"/>
  <c r="V209" i="15" s="1"/>
  <c r="T210" i="15"/>
  <c r="X210" i="15" s="1"/>
  <c r="Q204" i="15"/>
  <c r="U204" i="15" s="1"/>
  <c r="Q200" i="15"/>
  <c r="U200" i="15" s="1"/>
  <c r="R208" i="15"/>
  <c r="V208" i="15" s="1"/>
  <c r="R201" i="15"/>
  <c r="V201" i="15" s="1"/>
  <c r="Q206" i="15"/>
  <c r="U206" i="15" s="1"/>
  <c r="T201" i="15"/>
  <c r="X201" i="15" s="1"/>
  <c r="T202" i="15"/>
  <c r="X202" i="15" s="1"/>
  <c r="M202" i="15" s="1"/>
  <c r="Q202" i="15"/>
  <c r="U202" i="15" s="1"/>
  <c r="R198" i="15"/>
  <c r="V198" i="15" s="1"/>
  <c r="T198" i="15"/>
  <c r="X198" i="15" s="1"/>
  <c r="T209" i="15"/>
  <c r="X209" i="15" s="1"/>
  <c r="Q209" i="15"/>
  <c r="U209" i="15" s="1"/>
  <c r="Q198" i="15"/>
  <c r="U198" i="15" s="1"/>
  <c r="Q210" i="15"/>
  <c r="U210" i="15" s="1"/>
  <c r="AF57" i="26"/>
  <c r="AF59" i="26"/>
  <c r="AF58" i="26"/>
  <c r="AF188" i="26"/>
  <c r="AF187" i="26"/>
  <c r="AF190" i="26"/>
  <c r="AF191" i="26"/>
  <c r="AF192" i="26"/>
  <c r="AF71" i="26"/>
  <c r="AF68" i="26"/>
  <c r="AF70" i="26"/>
  <c r="AF67" i="26"/>
  <c r="AF183" i="26"/>
  <c r="AF182" i="26"/>
  <c r="AF63" i="26"/>
  <c r="AF62" i="26"/>
  <c r="AF137" i="26"/>
  <c r="AG137" i="26"/>
  <c r="AE69" i="26"/>
  <c r="AE72" i="26"/>
  <c r="AF117" i="26"/>
  <c r="AF122" i="26"/>
  <c r="AE26" i="26"/>
  <c r="AF124" i="26"/>
  <c r="AH156" i="26"/>
  <c r="AE13" i="26"/>
  <c r="AF234" i="26"/>
  <c r="AF239" i="26"/>
  <c r="AH154" i="26"/>
  <c r="AF105" i="26"/>
  <c r="AF222" i="26"/>
  <c r="AF180" i="26" l="1"/>
  <c r="AF184" i="26"/>
  <c r="AF64" i="26"/>
  <c r="AG188" i="26"/>
  <c r="AG191" i="26"/>
  <c r="AG192" i="26"/>
  <c r="AF60" i="26"/>
  <c r="D296" i="14" l="1"/>
  <c r="C296" i="14" s="1"/>
  <c r="D297" i="14"/>
  <c r="C297" i="14" s="1"/>
  <c r="D248" i="14"/>
  <c r="C248" i="14" s="1"/>
  <c r="D249" i="14"/>
  <c r="C249" i="14" s="1"/>
  <c r="P187" i="14"/>
  <c r="Q187" i="14"/>
  <c r="R187" i="14"/>
  <c r="C160" i="14"/>
  <c r="C156" i="14"/>
  <c r="C157" i="14"/>
  <c r="C138" i="14"/>
  <c r="C124" i="14"/>
  <c r="C125" i="14"/>
  <c r="L69" i="15"/>
  <c r="L70" i="15"/>
  <c r="L71" i="15"/>
  <c r="L72" i="15"/>
  <c r="L73" i="15"/>
  <c r="L74" i="15"/>
  <c r="L75" i="15"/>
  <c r="D35" i="14"/>
  <c r="C35" i="14" s="1"/>
  <c r="S48" i="30"/>
  <c r="Q39" i="30"/>
  <c r="I39" i="30"/>
  <c r="D39" i="30"/>
  <c r="Q36" i="30"/>
  <c r="I36" i="30"/>
  <c r="D36" i="30"/>
  <c r="Q33" i="30"/>
  <c r="I33" i="30"/>
  <c r="D33" i="30"/>
  <c r="Q30" i="30"/>
  <c r="I30" i="30"/>
  <c r="D30" i="30"/>
  <c r="A317" i="14" l="1"/>
  <c r="A316" i="14"/>
  <c r="A315" i="14"/>
  <c r="A314" i="14"/>
  <c r="A308" i="14"/>
  <c r="A282" i="14"/>
  <c r="A281" i="14"/>
  <c r="A280" i="14"/>
  <c r="A279" i="14"/>
  <c r="A273" i="14"/>
  <c r="A268" i="14"/>
  <c r="A267" i="14"/>
  <c r="A266" i="14"/>
  <c r="A265" i="14"/>
  <c r="A259" i="14"/>
  <c r="A242" i="14"/>
  <c r="A241" i="14"/>
  <c r="A240" i="14"/>
  <c r="A239" i="14"/>
  <c r="A233" i="14"/>
  <c r="A224" i="14"/>
  <c r="A223" i="14"/>
  <c r="A222" i="14"/>
  <c r="A221" i="14"/>
  <c r="A215" i="14"/>
  <c r="A197" i="14"/>
  <c r="A196" i="14"/>
  <c r="A195" i="14"/>
  <c r="A194" i="14"/>
  <c r="A188" i="14"/>
  <c r="A170" i="14"/>
  <c r="A169" i="14"/>
  <c r="A168" i="14"/>
  <c r="A162" i="14"/>
  <c r="A161" i="14"/>
  <c r="A150" i="14"/>
  <c r="A149" i="14"/>
  <c r="A148" i="14"/>
  <c r="A142" i="14"/>
  <c r="A141" i="14"/>
  <c r="A120" i="14"/>
  <c r="A119" i="14"/>
  <c r="A118" i="14"/>
  <c r="A117" i="14"/>
  <c r="A111" i="14"/>
  <c r="A103" i="14"/>
  <c r="A102" i="14"/>
  <c r="A101" i="14"/>
  <c r="A100" i="14"/>
  <c r="A94" i="14"/>
  <c r="A47" i="14"/>
  <c r="A46" i="14"/>
  <c r="A45" i="14"/>
  <c r="A39" i="14"/>
  <c r="A38" i="14"/>
  <c r="A29" i="14"/>
  <c r="A30" i="14"/>
  <c r="A31" i="14"/>
  <c r="A32" i="14"/>
  <c r="A23" i="14"/>
  <c r="B3" i="30" l="1"/>
  <c r="C27" i="30" l="1"/>
  <c r="W41" i="30"/>
  <c r="W42" i="30"/>
  <c r="W43" i="30"/>
  <c r="E111" i="26" l="1"/>
  <c r="E242" i="26" l="1"/>
  <c r="E228" i="26"/>
  <c r="E230" i="26"/>
  <c r="E231" i="26"/>
  <c r="E227" i="26"/>
  <c r="E226" i="26"/>
  <c r="E225" i="26"/>
  <c r="E114" i="26"/>
  <c r="E113" i="26"/>
  <c r="E110" i="26"/>
  <c r="E109" i="26"/>
  <c r="E108" i="26"/>
  <c r="D219" i="26" l="1"/>
  <c r="D11" i="14" l="1"/>
  <c r="C11" i="14" s="1"/>
  <c r="AG11" i="14"/>
  <c r="AI11" i="14"/>
  <c r="D12" i="14"/>
  <c r="C12" i="14" s="1"/>
  <c r="AG12" i="14"/>
  <c r="AI12" i="14"/>
  <c r="D105" i="26" l="1" a="1"/>
  <c r="D105" i="26" s="1"/>
  <c r="E105" i="26" s="1"/>
  <c r="D239" i="26"/>
  <c r="D222" i="26"/>
  <c r="E224" i="26" s="1"/>
  <c r="D234" i="26"/>
  <c r="D122" i="26"/>
  <c r="D117" i="26"/>
  <c r="Q308" i="14"/>
  <c r="Q314" i="14"/>
  <c r="Q315" i="14"/>
  <c r="Q316" i="14"/>
  <c r="Q317" i="14"/>
  <c r="P308" i="14"/>
  <c r="P314" i="14"/>
  <c r="P315" i="14"/>
  <c r="P316" i="14"/>
  <c r="P317" i="14"/>
  <c r="D294" i="14"/>
  <c r="C294" i="14" s="1"/>
  <c r="D295" i="14"/>
  <c r="C295" i="14" s="1"/>
  <c r="D298" i="14"/>
  <c r="C298" i="14" s="1"/>
  <c r="D299" i="14"/>
  <c r="C299" i="14" s="1"/>
  <c r="D300" i="14"/>
  <c r="C300" i="14" s="1"/>
  <c r="D301" i="14"/>
  <c r="C301" i="14" s="1"/>
  <c r="D302" i="14"/>
  <c r="C302" i="14" s="1"/>
  <c r="D303" i="14"/>
  <c r="C303" i="14" s="1"/>
  <c r="D304" i="14"/>
  <c r="C304" i="14" s="1"/>
  <c r="D305" i="14"/>
  <c r="C305" i="14" s="1"/>
  <c r="D306" i="14"/>
  <c r="C306" i="14" s="1"/>
  <c r="D205" i="14"/>
  <c r="C205" i="14" s="1"/>
  <c r="D201" i="14"/>
  <c r="C201" i="14" s="1"/>
  <c r="D17" i="14"/>
  <c r="C17" i="14" s="1"/>
  <c r="D18" i="14"/>
  <c r="C18" i="14" s="1"/>
  <c r="P188" i="14"/>
  <c r="Q188" i="14"/>
  <c r="R188" i="14"/>
  <c r="P194" i="14"/>
  <c r="Q194" i="14"/>
  <c r="R194" i="14"/>
  <c r="P195" i="14"/>
  <c r="Q195" i="14"/>
  <c r="R195" i="14"/>
  <c r="P196" i="14"/>
  <c r="Q196" i="14"/>
  <c r="R196" i="14"/>
  <c r="P197" i="14"/>
  <c r="Q197" i="14"/>
  <c r="R197" i="14"/>
  <c r="P161" i="14"/>
  <c r="Q161" i="14"/>
  <c r="R161" i="14"/>
  <c r="P162" i="14"/>
  <c r="Q162" i="14"/>
  <c r="R162" i="14"/>
  <c r="P168" i="14"/>
  <c r="Q168" i="14"/>
  <c r="R168" i="14"/>
  <c r="P169" i="14"/>
  <c r="Q169" i="14"/>
  <c r="R169" i="14"/>
  <c r="P170" i="14"/>
  <c r="Q170" i="14"/>
  <c r="R170" i="14"/>
  <c r="D14" i="14"/>
  <c r="C14" i="14" s="1"/>
  <c r="D10" i="14"/>
  <c r="C10" i="14" s="1"/>
  <c r="D250" i="14"/>
  <c r="C250" i="14" s="1"/>
  <c r="D173" i="26"/>
  <c r="D146" i="26"/>
  <c r="D133" i="26"/>
  <c r="K39" i="26"/>
  <c r="L39" i="26"/>
  <c r="M39" i="26"/>
  <c r="N39" i="26"/>
  <c r="K35" i="26"/>
  <c r="F42" i="16"/>
  <c r="K107" i="16"/>
  <c r="K108" i="16"/>
  <c r="K109" i="16"/>
  <c r="K110" i="16"/>
  <c r="K111" i="16"/>
  <c r="K112" i="16"/>
  <c r="K113" i="16"/>
  <c r="K114" i="16"/>
  <c r="K115" i="16"/>
  <c r="K116" i="16"/>
  <c r="K117" i="16"/>
  <c r="K118" i="16"/>
  <c r="K119" i="16"/>
  <c r="K120" i="16"/>
  <c r="K121" i="16"/>
  <c r="K122" i="16"/>
  <c r="K77" i="16"/>
  <c r="K78" i="16"/>
  <c r="K79" i="16"/>
  <c r="K80" i="16"/>
  <c r="K81" i="16"/>
  <c r="K82" i="16"/>
  <c r="K83" i="16"/>
  <c r="K84" i="16"/>
  <c r="K85" i="16"/>
  <c r="K86" i="16"/>
  <c r="K87" i="16"/>
  <c r="K88" i="16"/>
  <c r="K89" i="16"/>
  <c r="K90" i="16"/>
  <c r="K91" i="16"/>
  <c r="K92" i="16"/>
  <c r="K93" i="16"/>
  <c r="K94" i="16"/>
  <c r="K95" i="16"/>
  <c r="K52" i="16"/>
  <c r="K53" i="16"/>
  <c r="K54" i="16"/>
  <c r="K55" i="16"/>
  <c r="K56" i="16"/>
  <c r="K57" i="16"/>
  <c r="K58" i="16"/>
  <c r="K59" i="16"/>
  <c r="K60" i="16"/>
  <c r="K61" i="16"/>
  <c r="K62" i="16"/>
  <c r="K63" i="16"/>
  <c r="K64" i="16"/>
  <c r="K65" i="16"/>
  <c r="K66" i="16"/>
  <c r="K67" i="16"/>
  <c r="K68" i="16"/>
  <c r="K221" i="15"/>
  <c r="K222" i="15"/>
  <c r="K223" i="15"/>
  <c r="K224" i="15"/>
  <c r="K225" i="15"/>
  <c r="K226" i="15"/>
  <c r="K227" i="15"/>
  <c r="K228" i="15"/>
  <c r="K229" i="15"/>
  <c r="K230" i="15"/>
  <c r="K231" i="15"/>
  <c r="K232" i="15"/>
  <c r="K233" i="15"/>
  <c r="K234" i="15"/>
  <c r="K235" i="15"/>
  <c r="K236" i="15"/>
  <c r="K237" i="15"/>
  <c r="L197" i="15"/>
  <c r="L198" i="15"/>
  <c r="L199" i="15"/>
  <c r="L200" i="15"/>
  <c r="L201" i="15"/>
  <c r="L202" i="15"/>
  <c r="L203" i="15"/>
  <c r="L204" i="15"/>
  <c r="L205" i="15"/>
  <c r="L206" i="15"/>
  <c r="L207" i="15"/>
  <c r="L208" i="15"/>
  <c r="L209" i="15"/>
  <c r="L210" i="15"/>
  <c r="L170" i="15"/>
  <c r="L171" i="15"/>
  <c r="L172" i="15"/>
  <c r="L173" i="15"/>
  <c r="L174" i="15"/>
  <c r="L175" i="15"/>
  <c r="L176" i="15"/>
  <c r="L177" i="15"/>
  <c r="L178" i="15"/>
  <c r="L179" i="15"/>
  <c r="L180" i="15"/>
  <c r="L181" i="15"/>
  <c r="L182" i="15"/>
  <c r="L183" i="15"/>
  <c r="L148" i="15"/>
  <c r="L149" i="15"/>
  <c r="L150" i="15"/>
  <c r="L151" i="15"/>
  <c r="L152" i="15"/>
  <c r="L153" i="15"/>
  <c r="L154" i="15"/>
  <c r="L155" i="15"/>
  <c r="L156" i="15"/>
  <c r="L115" i="15"/>
  <c r="L116" i="15"/>
  <c r="L117" i="15"/>
  <c r="L118" i="15"/>
  <c r="L119" i="15"/>
  <c r="L120" i="15"/>
  <c r="L121" i="15"/>
  <c r="L122" i="15"/>
  <c r="L123" i="15"/>
  <c r="L124" i="15"/>
  <c r="L125" i="15"/>
  <c r="L126" i="15"/>
  <c r="L127" i="15"/>
  <c r="L128" i="15"/>
  <c r="L129" i="15"/>
  <c r="K85" i="15"/>
  <c r="K86" i="15"/>
  <c r="K87" i="15"/>
  <c r="K88" i="15"/>
  <c r="K89" i="15"/>
  <c r="K90" i="15"/>
  <c r="K91" i="15"/>
  <c r="K92" i="15"/>
  <c r="K93" i="15"/>
  <c r="K94" i="15"/>
  <c r="K95" i="15"/>
  <c r="K96" i="15"/>
  <c r="K97" i="15"/>
  <c r="K98" i="15"/>
  <c r="K99" i="15"/>
  <c r="K100" i="15"/>
  <c r="K101" i="15"/>
  <c r="K102" i="15"/>
  <c r="E117" i="26" l="1"/>
  <c r="E119" i="26"/>
  <c r="E234" i="26"/>
  <c r="E236" i="26"/>
  <c r="E125" i="26"/>
  <c r="E122" i="26"/>
  <c r="E124" i="26"/>
  <c r="E239" i="26"/>
  <c r="E241" i="26"/>
  <c r="E229" i="26"/>
  <c r="E222" i="26"/>
  <c r="E112" i="26"/>
  <c r="E107" i="26"/>
  <c r="B29" i="10"/>
  <c r="B11" i="10"/>
  <c r="B12" i="10"/>
  <c r="B13" i="10"/>
  <c r="B14" i="10"/>
  <c r="B15" i="10"/>
  <c r="B16" i="10"/>
  <c r="B17" i="10"/>
  <c r="B18" i="10"/>
  <c r="B19" i="10"/>
  <c r="B20" i="10"/>
  <c r="B21" i="10"/>
  <c r="B22" i="10"/>
  <c r="B23" i="10"/>
  <c r="B24" i="10"/>
  <c r="B25" i="10"/>
  <c r="B26" i="10"/>
  <c r="B27" i="10"/>
  <c r="B28" i="10"/>
  <c r="G143" i="26" l="1"/>
  <c r="G142" i="26"/>
  <c r="G144" i="26"/>
  <c r="C68" i="16" l="1"/>
  <c r="C67" i="16"/>
  <c r="C66" i="16"/>
  <c r="C65" i="16"/>
  <c r="C64" i="16"/>
  <c r="C63" i="16"/>
  <c r="C62" i="16"/>
  <c r="C61" i="16"/>
  <c r="C60" i="16"/>
  <c r="C59" i="16"/>
  <c r="C58" i="16"/>
  <c r="C57" i="16"/>
  <c r="C56" i="16"/>
  <c r="C55" i="16"/>
  <c r="C54" i="16"/>
  <c r="C53" i="16"/>
  <c r="C52" i="16"/>
  <c r="C51" i="16"/>
  <c r="C50" i="16"/>
  <c r="C49" i="16"/>
  <c r="N49" i="16" s="1"/>
  <c r="D290" i="14" l="1"/>
  <c r="C290" i="14" s="1"/>
  <c r="D291" i="14"/>
  <c r="C291" i="14" s="1"/>
  <c r="D292" i="14"/>
  <c r="C292" i="14" s="1"/>
  <c r="D293" i="14"/>
  <c r="C293" i="14" s="1"/>
  <c r="D307" i="14"/>
  <c r="C307" i="14" s="1"/>
  <c r="D36" i="14" l="1"/>
  <c r="D37" i="14"/>
  <c r="D38" i="14"/>
  <c r="D39" i="14"/>
  <c r="D45" i="14"/>
  <c r="D46" i="14"/>
  <c r="D47" i="14"/>
  <c r="D106" i="14"/>
  <c r="D107" i="14"/>
  <c r="D286" i="14"/>
  <c r="C286" i="14" s="1"/>
  <c r="D287" i="14"/>
  <c r="C287" i="14" s="1"/>
  <c r="D288" i="14"/>
  <c r="C288" i="14" s="1"/>
  <c r="D289" i="14"/>
  <c r="C289" i="14" s="1"/>
  <c r="D308" i="14"/>
  <c r="C308" i="14" s="1"/>
  <c r="D314" i="14"/>
  <c r="C314" i="14" s="1"/>
  <c r="D315" i="14"/>
  <c r="C315" i="14" s="1"/>
  <c r="D316" i="14"/>
  <c r="C316" i="14" s="1"/>
  <c r="D317" i="14"/>
  <c r="C317" i="14" s="1"/>
  <c r="D271" i="14"/>
  <c r="D272" i="14"/>
  <c r="D273" i="14"/>
  <c r="D279" i="14"/>
  <c r="D280" i="14"/>
  <c r="D281" i="14"/>
  <c r="D282" i="14"/>
  <c r="D245" i="14"/>
  <c r="D246" i="14"/>
  <c r="D247" i="14"/>
  <c r="D251" i="14"/>
  <c r="D252" i="14"/>
  <c r="D253" i="14"/>
  <c r="D256" i="14"/>
  <c r="D259" i="14"/>
  <c r="D265" i="14"/>
  <c r="D266" i="14"/>
  <c r="D267" i="14"/>
  <c r="D268" i="14"/>
  <c r="D227" i="14"/>
  <c r="D228" i="14"/>
  <c r="D229" i="14"/>
  <c r="D230" i="14"/>
  <c r="D231" i="14"/>
  <c r="D232" i="14"/>
  <c r="D233" i="14"/>
  <c r="D239" i="14"/>
  <c r="D240" i="14"/>
  <c r="D241" i="14"/>
  <c r="D242" i="14"/>
  <c r="D200" i="14"/>
  <c r="D202" i="14"/>
  <c r="D203" i="14"/>
  <c r="D204" i="14"/>
  <c r="D206" i="14"/>
  <c r="D207" i="14"/>
  <c r="D208" i="14"/>
  <c r="D209" i="14"/>
  <c r="D210" i="14"/>
  <c r="D211" i="14"/>
  <c r="D212" i="14"/>
  <c r="D213" i="14"/>
  <c r="D215" i="14"/>
  <c r="D221" i="14"/>
  <c r="D222" i="14"/>
  <c r="D223" i="14"/>
  <c r="D224" i="14"/>
  <c r="D153" i="14"/>
  <c r="D123" i="14"/>
  <c r="D50" i="14"/>
  <c r="D51" i="14"/>
  <c r="D52" i="14"/>
  <c r="D53" i="14"/>
  <c r="D54" i="14"/>
  <c r="D55" i="14"/>
  <c r="D56" i="14"/>
  <c r="D57" i="14"/>
  <c r="D58" i="14"/>
  <c r="D59" i="14"/>
  <c r="D60" i="14"/>
  <c r="D61" i="14"/>
  <c r="D62" i="14"/>
  <c r="D63" i="14"/>
  <c r="D64" i="14"/>
  <c r="D65" i="14"/>
  <c r="D66" i="14"/>
  <c r="D67" i="14"/>
  <c r="D68" i="14"/>
  <c r="D69" i="14"/>
  <c r="D70" i="14"/>
  <c r="D71" i="14"/>
  <c r="D72" i="14"/>
  <c r="D73" i="14"/>
  <c r="D74" i="14"/>
  <c r="D75" i="14"/>
  <c r="D76" i="14"/>
  <c r="D77" i="14"/>
  <c r="D78" i="14"/>
  <c r="D79" i="14"/>
  <c r="D80" i="14"/>
  <c r="D81" i="14"/>
  <c r="D82" i="14"/>
  <c r="D83" i="14"/>
  <c r="D84" i="14"/>
  <c r="D85" i="14"/>
  <c r="D86" i="14"/>
  <c r="D87" i="14"/>
  <c r="D88" i="14"/>
  <c r="D89" i="14"/>
  <c r="D90" i="14"/>
  <c r="D91" i="14"/>
  <c r="D92" i="14"/>
  <c r="D93" i="14"/>
  <c r="D94" i="14"/>
  <c r="D100" i="14"/>
  <c r="D101" i="14"/>
  <c r="D102" i="14"/>
  <c r="D103" i="14"/>
  <c r="D108" i="14"/>
  <c r="D109" i="14"/>
  <c r="D110" i="14"/>
  <c r="D111" i="14"/>
  <c r="D117" i="14"/>
  <c r="D118" i="14"/>
  <c r="D119" i="14"/>
  <c r="D120" i="14"/>
  <c r="R141" i="14"/>
  <c r="R142" i="14"/>
  <c r="R148" i="14"/>
  <c r="R149" i="14"/>
  <c r="R150" i="14"/>
  <c r="Q215" i="14"/>
  <c r="Q221" i="14"/>
  <c r="Q222" i="14"/>
  <c r="Q223" i="14"/>
  <c r="Q224" i="14"/>
  <c r="P233" i="14"/>
  <c r="P239" i="14"/>
  <c r="P240" i="14"/>
  <c r="P241" i="14"/>
  <c r="P242" i="14"/>
  <c r="R259" i="14"/>
  <c r="R265" i="14"/>
  <c r="R266" i="14"/>
  <c r="R267" i="14"/>
  <c r="R268" i="14"/>
  <c r="P273" i="14"/>
  <c r="P279" i="14"/>
  <c r="P280" i="14"/>
  <c r="P281" i="14"/>
  <c r="P282" i="14"/>
  <c r="O273" i="14"/>
  <c r="O279" i="14"/>
  <c r="O280" i="14"/>
  <c r="O281" i="14"/>
  <c r="O282" i="14"/>
  <c r="N273" i="14"/>
  <c r="N279" i="14"/>
  <c r="N280" i="14"/>
  <c r="N281" i="14"/>
  <c r="N282" i="14"/>
  <c r="Q259" i="14"/>
  <c r="Q265" i="14"/>
  <c r="Q266" i="14"/>
  <c r="Q267" i="14"/>
  <c r="Q268" i="14"/>
  <c r="P259" i="14"/>
  <c r="P265" i="14"/>
  <c r="P266" i="14"/>
  <c r="P267" i="14"/>
  <c r="P268" i="14"/>
  <c r="O233" i="14"/>
  <c r="O239" i="14"/>
  <c r="O240" i="14"/>
  <c r="O241" i="14"/>
  <c r="O242" i="14"/>
  <c r="N233" i="14"/>
  <c r="N239" i="14"/>
  <c r="N240" i="14"/>
  <c r="N241" i="14"/>
  <c r="N242" i="14"/>
  <c r="P215" i="14"/>
  <c r="P221" i="14"/>
  <c r="P222" i="14"/>
  <c r="P223" i="14"/>
  <c r="P224" i="14"/>
  <c r="O215" i="14"/>
  <c r="O221" i="14"/>
  <c r="O222" i="14"/>
  <c r="O223" i="14"/>
  <c r="O224" i="14"/>
  <c r="Q141" i="14"/>
  <c r="Q142" i="14"/>
  <c r="Q148" i="14"/>
  <c r="Q149" i="14"/>
  <c r="Q150" i="14"/>
  <c r="P141" i="14"/>
  <c r="P142" i="14"/>
  <c r="P148" i="14"/>
  <c r="P149" i="14"/>
  <c r="P150" i="14"/>
  <c r="AG94" i="14"/>
  <c r="AG100" i="14"/>
  <c r="AG101" i="14"/>
  <c r="AG102" i="14"/>
  <c r="AG103" i="14"/>
  <c r="AF94" i="14"/>
  <c r="AF100" i="14"/>
  <c r="AF101" i="14"/>
  <c r="AF102" i="14"/>
  <c r="AF103" i="14"/>
  <c r="AE94" i="14"/>
  <c r="AE100" i="14"/>
  <c r="AE101" i="14"/>
  <c r="AE102" i="14"/>
  <c r="AE103" i="14"/>
  <c r="D9" i="14"/>
  <c r="D13" i="14"/>
  <c r="D15" i="14"/>
  <c r="D16" i="14"/>
  <c r="D19" i="14"/>
  <c r="D20" i="14"/>
  <c r="D21" i="14"/>
  <c r="D22" i="14"/>
  <c r="D23" i="14"/>
  <c r="D29" i="14"/>
  <c r="D30" i="14"/>
  <c r="D31" i="14"/>
  <c r="D32" i="14"/>
  <c r="C153" i="14" l="1"/>
  <c r="C154" i="14"/>
  <c r="C155" i="14"/>
  <c r="C158" i="14"/>
  <c r="C159" i="14"/>
  <c r="C161" i="14"/>
  <c r="C162" i="14"/>
  <c r="C168" i="14"/>
  <c r="C169" i="14"/>
  <c r="C170" i="14"/>
  <c r="C271" i="14"/>
  <c r="C272" i="14"/>
  <c r="C273" i="14"/>
  <c r="C279" i="14"/>
  <c r="C280" i="14"/>
  <c r="C281" i="14"/>
  <c r="C282" i="14"/>
  <c r="C245" i="14"/>
  <c r="C246" i="14"/>
  <c r="C247" i="14"/>
  <c r="C251" i="14"/>
  <c r="C252" i="14"/>
  <c r="C253" i="14"/>
  <c r="C256" i="14"/>
  <c r="C259" i="14"/>
  <c r="C265" i="14"/>
  <c r="C266" i="14"/>
  <c r="C267" i="14"/>
  <c r="C268" i="14"/>
  <c r="C227" i="14"/>
  <c r="C228" i="14"/>
  <c r="C229" i="14"/>
  <c r="C230" i="14"/>
  <c r="C231" i="14"/>
  <c r="C232" i="14"/>
  <c r="C233" i="14"/>
  <c r="C239" i="14"/>
  <c r="C240" i="14"/>
  <c r="C241" i="14"/>
  <c r="C242" i="14"/>
  <c r="C200" i="14"/>
  <c r="C202" i="14"/>
  <c r="C203" i="14"/>
  <c r="C204" i="14"/>
  <c r="C206" i="14"/>
  <c r="C207" i="14"/>
  <c r="C208" i="14"/>
  <c r="C209" i="14"/>
  <c r="C210" i="14"/>
  <c r="C211" i="14"/>
  <c r="C212" i="14"/>
  <c r="C213" i="14"/>
  <c r="C215" i="14"/>
  <c r="C221" i="14"/>
  <c r="C222" i="14"/>
  <c r="C223" i="14"/>
  <c r="C224" i="14"/>
  <c r="C123" i="14"/>
  <c r="C126" i="14"/>
  <c r="C127" i="14"/>
  <c r="C128" i="14"/>
  <c r="C129" i="14"/>
  <c r="C130" i="14"/>
  <c r="C133" i="14"/>
  <c r="C136" i="14"/>
  <c r="C137" i="14"/>
  <c r="C139" i="14"/>
  <c r="C141" i="14"/>
  <c r="C142" i="14"/>
  <c r="C148" i="14"/>
  <c r="C149" i="14"/>
  <c r="C150" i="14"/>
  <c r="C50" i="14"/>
  <c r="C51" i="14"/>
  <c r="C52" i="14"/>
  <c r="C53" i="14"/>
  <c r="C54" i="14"/>
  <c r="C55" i="14"/>
  <c r="C56" i="14"/>
  <c r="C57" i="14"/>
  <c r="C58" i="14"/>
  <c r="C59" i="14"/>
  <c r="C60" i="14"/>
  <c r="C61" i="14"/>
  <c r="C62" i="14"/>
  <c r="C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0" i="14"/>
  <c r="C91" i="14"/>
  <c r="C92" i="14"/>
  <c r="C93" i="14"/>
  <c r="C94" i="14"/>
  <c r="C100" i="14"/>
  <c r="C101" i="14"/>
  <c r="C102" i="14"/>
  <c r="C103" i="14"/>
  <c r="C106" i="14"/>
  <c r="C107" i="14"/>
  <c r="C108" i="14"/>
  <c r="C109" i="14"/>
  <c r="C110" i="14"/>
  <c r="C111" i="14"/>
  <c r="C117" i="14"/>
  <c r="C118" i="14"/>
  <c r="C119" i="14"/>
  <c r="C120" i="14"/>
  <c r="C36" i="14"/>
  <c r="C37" i="14"/>
  <c r="C38" i="14"/>
  <c r="C39" i="14"/>
  <c r="C45" i="14"/>
  <c r="C46" i="14"/>
  <c r="C47" i="14"/>
  <c r="C13" i="14"/>
  <c r="C15" i="14"/>
  <c r="C16" i="14"/>
  <c r="C19" i="14"/>
  <c r="C20" i="14"/>
  <c r="C21" i="14"/>
  <c r="C22" i="14"/>
  <c r="C23" i="14"/>
  <c r="C29" i="14"/>
  <c r="C30" i="14"/>
  <c r="C31" i="14"/>
  <c r="C32" i="14"/>
  <c r="AB59" i="15" l="1"/>
  <c r="AB62" i="15"/>
  <c r="AQ62" i="15" s="1"/>
  <c r="AB57" i="15"/>
  <c r="AQ57" i="15" s="1"/>
  <c r="AB67" i="15"/>
  <c r="AB70" i="15"/>
  <c r="AQ70" i="15" s="1"/>
  <c r="AB65" i="15"/>
  <c r="AQ65" i="15" s="1"/>
  <c r="AB75" i="15"/>
  <c r="AQ75" i="15" s="1"/>
  <c r="AB58" i="15"/>
  <c r="AQ58" i="15" s="1"/>
  <c r="AB73" i="15"/>
  <c r="AB71" i="15"/>
  <c r="AB74" i="15"/>
  <c r="AB60" i="15"/>
  <c r="AQ60" i="15" s="1"/>
  <c r="AB63" i="15"/>
  <c r="AQ63" i="15" s="1"/>
  <c r="AB56" i="15"/>
  <c r="AQ56" i="15" s="1"/>
  <c r="M56" i="15" s="1"/>
  <c r="M76" i="15" s="1"/>
  <c r="AB68" i="15"/>
  <c r="AQ68" i="15" s="1"/>
  <c r="AB66" i="15"/>
  <c r="AQ66" i="15" s="1"/>
  <c r="AB61" i="15"/>
  <c r="AB64" i="15"/>
  <c r="AB72" i="15"/>
  <c r="AB69" i="15"/>
  <c r="AQ69" i="15" s="1"/>
  <c r="AB116" i="15"/>
  <c r="AB124" i="15"/>
  <c r="AP124" i="15" s="1"/>
  <c r="AB123" i="15"/>
  <c r="AP123" i="15" s="1"/>
  <c r="AB117" i="15"/>
  <c r="AP117" i="15" s="1"/>
  <c r="AB125" i="15"/>
  <c r="AB115" i="15"/>
  <c r="AB118" i="15"/>
  <c r="AB126" i="15"/>
  <c r="AP126" i="15" s="1"/>
  <c r="AB119" i="15"/>
  <c r="AP119" i="15" s="1"/>
  <c r="AB127" i="15"/>
  <c r="AP127" i="15" s="1"/>
  <c r="AB120" i="15"/>
  <c r="AP120" i="15" s="1"/>
  <c r="AB128" i="15"/>
  <c r="AP128" i="15" s="1"/>
  <c r="AB113" i="15"/>
  <c r="AP113" i="15" s="1"/>
  <c r="AB121" i="15"/>
  <c r="AP121" i="15" s="1"/>
  <c r="AB129" i="15"/>
  <c r="AB114" i="15"/>
  <c r="AP114" i="15" s="1"/>
  <c r="AB122" i="15"/>
  <c r="AP122" i="15" s="1"/>
  <c r="S67" i="15"/>
  <c r="AT67" i="15" s="1"/>
  <c r="V68" i="15"/>
  <c r="AW68" i="15" s="1"/>
  <c r="AI61" i="15"/>
  <c r="BG61" i="15" s="1"/>
  <c r="AL62" i="15"/>
  <c r="AR62" i="15" s="1"/>
  <c r="U65" i="15"/>
  <c r="AV65" i="15" s="1"/>
  <c r="G61" i="15"/>
  <c r="AE64" i="15"/>
  <c r="BC64" i="15" s="1"/>
  <c r="AL60" i="15"/>
  <c r="AR60" i="15" s="1"/>
  <c r="X68" i="15"/>
  <c r="AY68" i="15" s="1"/>
  <c r="AA66" i="15"/>
  <c r="AN66" i="15" s="1"/>
  <c r="W60" i="15"/>
  <c r="AX60" i="15" s="1"/>
  <c r="X58" i="15"/>
  <c r="AY58" i="15" s="1"/>
  <c r="BO58" i="15" s="1"/>
  <c r="V65" i="15"/>
  <c r="AW65" i="15" s="1"/>
  <c r="AF61" i="15"/>
  <c r="BD61" i="15" s="1"/>
  <c r="AI56" i="15"/>
  <c r="BG56" i="15" s="1"/>
  <c r="BW56" i="15" s="1"/>
  <c r="S59" i="15"/>
  <c r="AT59" i="15" s="1"/>
  <c r="BJ59" i="15" s="1"/>
  <c r="Z64" i="15"/>
  <c r="AP64" i="15" s="1"/>
  <c r="AF67" i="15"/>
  <c r="BD67" i="15" s="1"/>
  <c r="X57" i="15"/>
  <c r="AY57" i="15" s="1"/>
  <c r="BO57" i="15" s="1"/>
  <c r="U63" i="15"/>
  <c r="AV63" i="15" s="1"/>
  <c r="S64" i="15"/>
  <c r="AT64" i="15" s="1"/>
  <c r="U66" i="15"/>
  <c r="AV66" i="15" s="1"/>
  <c r="G57" i="15"/>
  <c r="AD59" i="15"/>
  <c r="BB59" i="15" s="1"/>
  <c r="BR59" i="15" s="1"/>
  <c r="W61" i="15"/>
  <c r="AX61" i="15" s="1"/>
  <c r="Y57" i="15"/>
  <c r="AZ57" i="15" s="1"/>
  <c r="BP57" i="15" s="1"/>
  <c r="T56" i="15"/>
  <c r="AU56" i="15" s="1"/>
  <c r="BK56" i="15" s="1"/>
  <c r="AG59" i="15"/>
  <c r="BE59" i="15" s="1"/>
  <c r="BU59" i="15" s="1"/>
  <c r="AF63" i="15"/>
  <c r="BD63" i="15" s="1"/>
  <c r="AI60" i="15"/>
  <c r="BG60" i="15" s="1"/>
  <c r="AH60" i="15"/>
  <c r="BF60" i="15" s="1"/>
  <c r="G64" i="15"/>
  <c r="AE59" i="15"/>
  <c r="BC59" i="15" s="1"/>
  <c r="BS59" i="15" s="1"/>
  <c r="AE61" i="15"/>
  <c r="BC61" i="15" s="1"/>
  <c r="AA62" i="15"/>
  <c r="AN62" i="15" s="1"/>
  <c r="V59" i="15"/>
  <c r="AW59" i="15" s="1"/>
  <c r="BM59" i="15" s="1"/>
  <c r="AL57" i="15"/>
  <c r="AR57" i="15" s="1"/>
  <c r="G67" i="15"/>
  <c r="AC58" i="15"/>
  <c r="BA58" i="15" s="1"/>
  <c r="BQ58" i="15" s="1"/>
  <c r="AI57" i="15"/>
  <c r="BG57" i="15" s="1"/>
  <c r="BW57" i="15" s="1"/>
  <c r="AI64" i="15"/>
  <c r="BG64" i="15" s="1"/>
  <c r="AJ62" i="15"/>
  <c r="BH62" i="15" s="1"/>
  <c r="Y67" i="15"/>
  <c r="AZ67" i="15" s="1"/>
  <c r="X62" i="15"/>
  <c r="AY62" i="15" s="1"/>
  <c r="AK64" i="15"/>
  <c r="AO64" i="15" s="1"/>
  <c r="AG64" i="15"/>
  <c r="BE64" i="15" s="1"/>
  <c r="AI59" i="15"/>
  <c r="BG59" i="15" s="1"/>
  <c r="BW59" i="15" s="1"/>
  <c r="AL59" i="15"/>
  <c r="AR59" i="15" s="1"/>
  <c r="T65" i="15"/>
  <c r="AU65" i="15" s="1"/>
  <c r="S65" i="15"/>
  <c r="AT65" i="15" s="1"/>
  <c r="AE68" i="15"/>
  <c r="BC68" i="15" s="1"/>
  <c r="AD57" i="15"/>
  <c r="BB57" i="15" s="1"/>
  <c r="BR57" i="15" s="1"/>
  <c r="AJ63" i="15"/>
  <c r="BH63" i="15" s="1"/>
  <c r="AF56" i="15"/>
  <c r="BD56" i="15" s="1"/>
  <c r="BT56" i="15" s="1"/>
  <c r="Z63" i="15"/>
  <c r="AP63" i="15" s="1"/>
  <c r="R61" i="15"/>
  <c r="AS61" i="15" s="1"/>
  <c r="Q62" i="15"/>
  <c r="AM62" i="15" s="1"/>
  <c r="AF59" i="15"/>
  <c r="BD59" i="15" s="1"/>
  <c r="BT59" i="15" s="1"/>
  <c r="U59" i="15"/>
  <c r="AV59" i="15" s="1"/>
  <c r="BL59" i="15" s="1"/>
  <c r="AA57" i="15"/>
  <c r="AN57" i="15" s="1"/>
  <c r="AK67" i="15"/>
  <c r="AO67" i="15" s="1"/>
  <c r="AC64" i="15"/>
  <c r="BA64" i="15" s="1"/>
  <c r="AF60" i="15"/>
  <c r="BD60" i="15" s="1"/>
  <c r="AH59" i="15"/>
  <c r="BF59" i="15" s="1"/>
  <c r="BV59" i="15" s="1"/>
  <c r="AD67" i="15"/>
  <c r="BB67" i="15" s="1"/>
  <c r="AF68" i="15"/>
  <c r="BD68" i="15" s="1"/>
  <c r="Q58" i="15"/>
  <c r="AM58" i="15" s="1"/>
  <c r="L58" i="15" s="1"/>
  <c r="AL65" i="15"/>
  <c r="AR65" i="15" s="1"/>
  <c r="AE67" i="15"/>
  <c r="BC67" i="15" s="1"/>
  <c r="U57" i="15"/>
  <c r="AV57" i="15" s="1"/>
  <c r="BL57" i="15" s="1"/>
  <c r="AC63" i="15"/>
  <c r="BA63" i="15" s="1"/>
  <c r="AA64" i="15"/>
  <c r="AN64" i="15" s="1"/>
  <c r="AC62" i="15"/>
  <c r="BA62" i="15" s="1"/>
  <c r="AG58" i="15"/>
  <c r="BE58" i="15" s="1"/>
  <c r="BU58" i="15" s="1"/>
  <c r="V63" i="15"/>
  <c r="AW63" i="15" s="1"/>
  <c r="G66" i="15"/>
  <c r="S60" i="15"/>
  <c r="AT60" i="15" s="1"/>
  <c r="AD58" i="15"/>
  <c r="BB58" i="15" s="1"/>
  <c r="BR58" i="15" s="1"/>
  <c r="R60" i="15"/>
  <c r="AS60" i="15" s="1"/>
  <c r="W57" i="15"/>
  <c r="AX57" i="15" s="1"/>
  <c r="BN57" i="15" s="1"/>
  <c r="AC68" i="15"/>
  <c r="BA68" i="15" s="1"/>
  <c r="U64" i="15"/>
  <c r="AV64" i="15" s="1"/>
  <c r="Q67" i="15"/>
  <c r="AM67" i="15" s="1"/>
  <c r="R56" i="15"/>
  <c r="AS56" i="15" s="1"/>
  <c r="BI56" i="15" s="1"/>
  <c r="AJ61" i="15"/>
  <c r="BH61" i="15" s="1"/>
  <c r="AD65" i="15"/>
  <c r="BB65" i="15" s="1"/>
  <c r="AF57" i="15"/>
  <c r="BD57" i="15" s="1"/>
  <c r="BT57" i="15" s="1"/>
  <c r="AC61" i="15"/>
  <c r="BA61" i="15" s="1"/>
  <c r="AK60" i="15"/>
  <c r="AO60" i="15" s="1"/>
  <c r="AD68" i="15"/>
  <c r="BB68" i="15" s="1"/>
  <c r="R68" i="15"/>
  <c r="AS68" i="15" s="1"/>
  <c r="X63" i="15"/>
  <c r="AY63" i="15" s="1"/>
  <c r="AJ64" i="15"/>
  <c r="BH64" i="15" s="1"/>
  <c r="AI63" i="15"/>
  <c r="BG63" i="15" s="1"/>
  <c r="V62" i="15"/>
  <c r="AW62" i="15" s="1"/>
  <c r="AD66" i="15"/>
  <c r="BB66" i="15" s="1"/>
  <c r="AJ67" i="15"/>
  <c r="BH67" i="15" s="1"/>
  <c r="AI67" i="15"/>
  <c r="BG67" i="15" s="1"/>
  <c r="Y56" i="15"/>
  <c r="AZ56" i="15" s="1"/>
  <c r="BP56" i="15" s="1"/>
  <c r="AH64" i="15"/>
  <c r="BF64" i="15" s="1"/>
  <c r="X61" i="15"/>
  <c r="AY61" i="15" s="1"/>
  <c r="Z60" i="15"/>
  <c r="AP60" i="15" s="1"/>
  <c r="Z58" i="15"/>
  <c r="AP58" i="15" s="1"/>
  <c r="AD61" i="15"/>
  <c r="BB61" i="15" s="1"/>
  <c r="X67" i="15"/>
  <c r="AY67" i="15" s="1"/>
  <c r="AK58" i="15"/>
  <c r="AO58" i="15" s="1"/>
  <c r="AQ64" i="15"/>
  <c r="AJ58" i="15"/>
  <c r="BH58" i="15" s="1"/>
  <c r="BX58" i="15" s="1"/>
  <c r="Y61" i="15"/>
  <c r="AZ61" i="15" s="1"/>
  <c r="AD56" i="15"/>
  <c r="BB56" i="15" s="1"/>
  <c r="BR56" i="15" s="1"/>
  <c r="Y68" i="15"/>
  <c r="AZ68" i="15" s="1"/>
  <c r="AE62" i="15"/>
  <c r="BC62" i="15" s="1"/>
  <c r="Q60" i="15"/>
  <c r="AM60" i="15" s="1"/>
  <c r="AG67" i="15"/>
  <c r="BE67" i="15" s="1"/>
  <c r="Q66" i="15"/>
  <c r="AM66" i="15" s="1"/>
  <c r="S68" i="15"/>
  <c r="AT68" i="15" s="1"/>
  <c r="AC66" i="15"/>
  <c r="BA66" i="15" s="1"/>
  <c r="T57" i="15"/>
  <c r="AU57" i="15" s="1"/>
  <c r="BK57" i="15" s="1"/>
  <c r="AG63" i="15"/>
  <c r="BE63" i="15" s="1"/>
  <c r="R66" i="15"/>
  <c r="AS66" i="15" s="1"/>
  <c r="AK68" i="15"/>
  <c r="AO68" i="15" s="1"/>
  <c r="G60" i="15"/>
  <c r="S57" i="15"/>
  <c r="AT57" i="15" s="1"/>
  <c r="BJ57" i="15" s="1"/>
  <c r="W58" i="15"/>
  <c r="AX58" i="15" s="1"/>
  <c r="BN58" i="15" s="1"/>
  <c r="S58" i="15"/>
  <c r="AT58" i="15" s="1"/>
  <c r="BJ58" i="15" s="1"/>
  <c r="Q63" i="15"/>
  <c r="AM63" i="15" s="1"/>
  <c r="AE60" i="15"/>
  <c r="BC60" i="15" s="1"/>
  <c r="AG60" i="15"/>
  <c r="BE60" i="15" s="1"/>
  <c r="AC56" i="15"/>
  <c r="BA56" i="15" s="1"/>
  <c r="BQ56" i="15" s="1"/>
  <c r="W68" i="15"/>
  <c r="AX68" i="15" s="1"/>
  <c r="AA56" i="15"/>
  <c r="AN56" i="15" s="1"/>
  <c r="AL63" i="15"/>
  <c r="AR63" i="15" s="1"/>
  <c r="AE56" i="15"/>
  <c r="BC56" i="15" s="1"/>
  <c r="BS56" i="15" s="1"/>
  <c r="AK59" i="15"/>
  <c r="AO59" i="15" s="1"/>
  <c r="Z62" i="15"/>
  <c r="AP62" i="15" s="1"/>
  <c r="AF65" i="15"/>
  <c r="BD65" i="15" s="1"/>
  <c r="U58" i="15"/>
  <c r="AV58" i="15" s="1"/>
  <c r="BL58" i="15" s="1"/>
  <c r="AI66" i="15"/>
  <c r="BG66" i="15" s="1"/>
  <c r="U62" i="15"/>
  <c r="AV62" i="15" s="1"/>
  <c r="Z68" i="15"/>
  <c r="AP68" i="15" s="1"/>
  <c r="G59" i="15"/>
  <c r="AH67" i="15"/>
  <c r="BF67" i="15" s="1"/>
  <c r="X65" i="15"/>
  <c r="AY65" i="15" s="1"/>
  <c r="AI65" i="15"/>
  <c r="BG65" i="15" s="1"/>
  <c r="AQ67" i="15"/>
  <c r="T63" i="15"/>
  <c r="AU63" i="15" s="1"/>
  <c r="AA63" i="15"/>
  <c r="AN63" i="15" s="1"/>
  <c r="AA61" i="15"/>
  <c r="AN61" i="15" s="1"/>
  <c r="AQ59" i="15"/>
  <c r="AC67" i="15"/>
  <c r="BA67" i="15" s="1"/>
  <c r="T64" i="15"/>
  <c r="AU64" i="15" s="1"/>
  <c r="AJ60" i="15"/>
  <c r="BH60" i="15" s="1"/>
  <c r="AL68" i="15"/>
  <c r="AR68" i="15" s="1"/>
  <c r="R64" i="15"/>
  <c r="AS64" i="15" s="1"/>
  <c r="W62" i="15"/>
  <c r="AX62" i="15" s="1"/>
  <c r="AH56" i="15"/>
  <c r="BF56" i="15" s="1"/>
  <c r="BV56" i="15" s="1"/>
  <c r="AE63" i="15"/>
  <c r="BC63" i="15" s="1"/>
  <c r="Z65" i="15"/>
  <c r="AP65" i="15" s="1"/>
  <c r="W56" i="15"/>
  <c r="AX56" i="15" s="1"/>
  <c r="BN56" i="15" s="1"/>
  <c r="AK57" i="15"/>
  <c r="AO57" i="15" s="1"/>
  <c r="T62" i="15"/>
  <c r="AU62" i="15" s="1"/>
  <c r="G58" i="15"/>
  <c r="X66" i="15"/>
  <c r="AY66" i="15" s="1"/>
  <c r="AH68" i="15"/>
  <c r="BF68" i="15" s="1"/>
  <c r="W64" i="15"/>
  <c r="AX64" i="15" s="1"/>
  <c r="X60" i="15"/>
  <c r="AY60" i="15" s="1"/>
  <c r="AC57" i="15"/>
  <c r="BA57" i="15" s="1"/>
  <c r="BQ57" i="15" s="1"/>
  <c r="AI58" i="15"/>
  <c r="BG58" i="15" s="1"/>
  <c r="BW58" i="15" s="1"/>
  <c r="AI68" i="15"/>
  <c r="BG68" i="15" s="1"/>
  <c r="Y59" i="15"/>
  <c r="AZ59" i="15" s="1"/>
  <c r="BP59" i="15" s="1"/>
  <c r="AE57" i="15"/>
  <c r="BC57" i="15" s="1"/>
  <c r="BS57" i="15" s="1"/>
  <c r="AK62" i="15"/>
  <c r="AO62" i="15" s="1"/>
  <c r="AD63" i="15"/>
  <c r="BB63" i="15" s="1"/>
  <c r="X59" i="15"/>
  <c r="AY59" i="15" s="1"/>
  <c r="BO59" i="15" s="1"/>
  <c r="T60" i="15"/>
  <c r="AU60" i="15" s="1"/>
  <c r="U56" i="15"/>
  <c r="AV56" i="15" s="1"/>
  <c r="BL56" i="15" s="1"/>
  <c r="AA67" i="15"/>
  <c r="AN67" i="15" s="1"/>
  <c r="V64" i="15"/>
  <c r="AW64" i="15" s="1"/>
  <c r="AD60" i="15"/>
  <c r="BB60" i="15" s="1"/>
  <c r="R65" i="15"/>
  <c r="AS65" i="15" s="1"/>
  <c r="W66" i="15"/>
  <c r="AX66" i="15" s="1"/>
  <c r="AE65" i="15"/>
  <c r="BC65" i="15" s="1"/>
  <c r="U61" i="15"/>
  <c r="AV61" i="15" s="1"/>
  <c r="AA60" i="15"/>
  <c r="AN60" i="15" s="1"/>
  <c r="S66" i="15"/>
  <c r="AT66" i="15" s="1"/>
  <c r="Y62" i="15"/>
  <c r="AZ62" i="15" s="1"/>
  <c r="R59" i="15"/>
  <c r="AS59" i="15" s="1"/>
  <c r="BI59" i="15" s="1"/>
  <c r="T68" i="15"/>
  <c r="AU68" i="15" s="1"/>
  <c r="U68" i="15"/>
  <c r="AV68" i="15" s="1"/>
  <c r="V66" i="15"/>
  <c r="AW66" i="15" s="1"/>
  <c r="AL56" i="15"/>
  <c r="AR56" i="15" s="1"/>
  <c r="Z61" i="15"/>
  <c r="AP61" i="15" s="1"/>
  <c r="T67" i="15"/>
  <c r="AU67" i="15" s="1"/>
  <c r="G63" i="15"/>
  <c r="S61" i="15"/>
  <c r="AT61" i="15" s="1"/>
  <c r="R67" i="15"/>
  <c r="AS67" i="15" s="1"/>
  <c r="AL64" i="15"/>
  <c r="AR64" i="15" s="1"/>
  <c r="V61" i="15"/>
  <c r="AW61" i="15" s="1"/>
  <c r="AJ66" i="15"/>
  <c r="BH66" i="15" s="1"/>
  <c r="AC60" i="15"/>
  <c r="BA60" i="15" s="1"/>
  <c r="AH65" i="15"/>
  <c r="BF65" i="15" s="1"/>
  <c r="V67" i="15"/>
  <c r="AW67" i="15" s="1"/>
  <c r="Q61" i="15"/>
  <c r="AM61" i="15" s="1"/>
  <c r="AF58" i="15"/>
  <c r="BD58" i="15" s="1"/>
  <c r="BT58" i="15" s="1"/>
  <c r="AG62" i="15"/>
  <c r="BE62" i="15" s="1"/>
  <c r="W67" i="15"/>
  <c r="AX67" i="15" s="1"/>
  <c r="AG57" i="15"/>
  <c r="BE57" i="15" s="1"/>
  <c r="BU57" i="15" s="1"/>
  <c r="AH62" i="15"/>
  <c r="BF62" i="15" s="1"/>
  <c r="R62" i="15"/>
  <c r="AS62" i="15" s="1"/>
  <c r="Q65" i="15"/>
  <c r="AM65" i="15" s="1"/>
  <c r="X56" i="15"/>
  <c r="AY56" i="15" s="1"/>
  <c r="BO56" i="15" s="1"/>
  <c r="AK63" i="15"/>
  <c r="AO63" i="15" s="1"/>
  <c r="T58" i="15"/>
  <c r="AU58" i="15" s="1"/>
  <c r="BK58" i="15" s="1"/>
  <c r="V57" i="15"/>
  <c r="AW57" i="15" s="1"/>
  <c r="BM57" i="15" s="1"/>
  <c r="Y60" i="15"/>
  <c r="AZ60" i="15" s="1"/>
  <c r="Z59" i="15"/>
  <c r="AP59" i="15" s="1"/>
  <c r="AF66" i="15"/>
  <c r="BD66" i="15" s="1"/>
  <c r="S62" i="15"/>
  <c r="AT62" i="15" s="1"/>
  <c r="Y63" i="15"/>
  <c r="AZ63" i="15" s="1"/>
  <c r="AL58" i="15"/>
  <c r="AR58" i="15" s="1"/>
  <c r="T66" i="15"/>
  <c r="AU66" i="15" s="1"/>
  <c r="Q59" i="15"/>
  <c r="AM59" i="15" s="1"/>
  <c r="AJ59" i="15"/>
  <c r="BH59" i="15" s="1"/>
  <c r="BX59" i="15" s="1"/>
  <c r="R57" i="15"/>
  <c r="AS57" i="15" s="1"/>
  <c r="BI57" i="15" s="1"/>
  <c r="AH57" i="15"/>
  <c r="BF57" i="15" s="1"/>
  <c r="BV57" i="15" s="1"/>
  <c r="R58" i="15"/>
  <c r="AS58" i="15" s="1"/>
  <c r="BI58" i="15" s="1"/>
  <c r="AA65" i="15"/>
  <c r="AN65" i="15" s="1"/>
  <c r="AK66" i="15"/>
  <c r="AO66" i="15" s="1"/>
  <c r="AF62" i="15"/>
  <c r="BD62" i="15" s="1"/>
  <c r="AA59" i="15"/>
  <c r="AN59" i="15" s="1"/>
  <c r="G68" i="15"/>
  <c r="W59" i="15"/>
  <c r="AX59" i="15" s="1"/>
  <c r="BN59" i="15" s="1"/>
  <c r="Z57" i="15"/>
  <c r="AP57" i="15" s="1"/>
  <c r="AJ57" i="15"/>
  <c r="BH57" i="15" s="1"/>
  <c r="BX57" i="15" s="1"/>
  <c r="AE58" i="15"/>
  <c r="BC58" i="15" s="1"/>
  <c r="BS58" i="15" s="1"/>
  <c r="AJ56" i="15"/>
  <c r="BH56" i="15" s="1"/>
  <c r="BX56" i="15" s="1"/>
  <c r="Y58" i="15"/>
  <c r="AZ58" i="15" s="1"/>
  <c r="BP58" i="15" s="1"/>
  <c r="AG66" i="15"/>
  <c r="BE66" i="15" s="1"/>
  <c r="Z66" i="15"/>
  <c r="AP66" i="15" s="1"/>
  <c r="AH63" i="15"/>
  <c r="BF63" i="15" s="1"/>
  <c r="AJ65" i="15"/>
  <c r="BH65" i="15" s="1"/>
  <c r="G65" i="15"/>
  <c r="AK65" i="15"/>
  <c r="AO65" i="15" s="1"/>
  <c r="AQ61" i="15"/>
  <c r="AK56" i="15"/>
  <c r="AO56" i="15" s="1"/>
  <c r="R63" i="15"/>
  <c r="AS63" i="15" s="1"/>
  <c r="AF64" i="15"/>
  <c r="BD64" i="15" s="1"/>
  <c r="AH66" i="15"/>
  <c r="BF66" i="15" s="1"/>
  <c r="AD64" i="15"/>
  <c r="BB64" i="15" s="1"/>
  <c r="Z56" i="15"/>
  <c r="AP56" i="15" s="1"/>
  <c r="AG68" i="15"/>
  <c r="BE68" i="15" s="1"/>
  <c r="W63" i="15"/>
  <c r="AX63" i="15" s="1"/>
  <c r="AG56" i="15"/>
  <c r="BE56" i="15" s="1"/>
  <c r="BU56" i="15" s="1"/>
  <c r="V56" i="15"/>
  <c r="AW56" i="15" s="1"/>
  <c r="BM56" i="15" s="1"/>
  <c r="Q68" i="15"/>
  <c r="AM68" i="15" s="1"/>
  <c r="G62" i="15"/>
  <c r="S56" i="15"/>
  <c r="AT56" i="15" s="1"/>
  <c r="BJ56" i="15" s="1"/>
  <c r="X64" i="15"/>
  <c r="AY64" i="15" s="1"/>
  <c r="AL67" i="15"/>
  <c r="AR67" i="15" s="1"/>
  <c r="Q56" i="15"/>
  <c r="AM56" i="15" s="1"/>
  <c r="G56" i="15"/>
  <c r="AE66" i="15"/>
  <c r="BC66" i="15" s="1"/>
  <c r="W65" i="15"/>
  <c r="AX65" i="15" s="1"/>
  <c r="Y65" i="15"/>
  <c r="AZ65" i="15" s="1"/>
  <c r="Q57" i="15"/>
  <c r="AM57" i="15" s="1"/>
  <c r="Y66" i="15"/>
  <c r="AZ66" i="15" s="1"/>
  <c r="Q64" i="15"/>
  <c r="AM64" i="15" s="1"/>
  <c r="AJ68" i="15"/>
  <c r="BH68" i="15" s="1"/>
  <c r="V60" i="15"/>
  <c r="AW60" i="15" s="1"/>
  <c r="AA68" i="15"/>
  <c r="AN68" i="15" s="1"/>
  <c r="AA58" i="15"/>
  <c r="AN58" i="15" s="1"/>
  <c r="AG65" i="15"/>
  <c r="BE65" i="15" s="1"/>
  <c r="AK61" i="15"/>
  <c r="AO61" i="15" s="1"/>
  <c r="Y64" i="15"/>
  <c r="AZ64" i="15" s="1"/>
  <c r="U67" i="15"/>
  <c r="AV67" i="15" s="1"/>
  <c r="U60" i="15"/>
  <c r="AV60" i="15" s="1"/>
  <c r="AD62" i="15"/>
  <c r="BB62" i="15" s="1"/>
  <c r="S63" i="15"/>
  <c r="AT63" i="15" s="1"/>
  <c r="AL66" i="15"/>
  <c r="AR66" i="15" s="1"/>
  <c r="AC65" i="15"/>
  <c r="BA65" i="15" s="1"/>
  <c r="T61" i="15"/>
  <c r="AU61" i="15" s="1"/>
  <c r="Z67" i="15"/>
  <c r="AP67" i="15" s="1"/>
  <c r="AH61" i="15"/>
  <c r="BF61" i="15" s="1"/>
  <c r="AI62" i="15"/>
  <c r="BG62" i="15" s="1"/>
  <c r="AC59" i="15"/>
  <c r="BA59" i="15" s="1"/>
  <c r="BQ59" i="15" s="1"/>
  <c r="AH58" i="15"/>
  <c r="BF58" i="15" s="1"/>
  <c r="BV58" i="15" s="1"/>
  <c r="AL61" i="15"/>
  <c r="AR61" i="15" s="1"/>
  <c r="T59" i="15"/>
  <c r="AU59" i="15" s="1"/>
  <c r="BK59" i="15" s="1"/>
  <c r="V58" i="15"/>
  <c r="AW58" i="15" s="1"/>
  <c r="BM58" i="15" s="1"/>
  <c r="AG61" i="15"/>
  <c r="BE61" i="15" s="1"/>
  <c r="AF125" i="15"/>
  <c r="BB125" i="15" s="1"/>
  <c r="AI125" i="15"/>
  <c r="BE125" i="15" s="1"/>
  <c r="Y128" i="15"/>
  <c r="AX128" i="15" s="1"/>
  <c r="AF124" i="15"/>
  <c r="BB124" i="15" s="1"/>
  <c r="AA124" i="15"/>
  <c r="AM124" i="15" s="1"/>
  <c r="Y120" i="15"/>
  <c r="AX120" i="15" s="1"/>
  <c r="AF116" i="15"/>
  <c r="BB116" i="15" s="1"/>
  <c r="AA116" i="15"/>
  <c r="AM116" i="15" s="1"/>
  <c r="AC121" i="15"/>
  <c r="AY121" i="15" s="1"/>
  <c r="AJ127" i="15"/>
  <c r="BF127" i="15" s="1"/>
  <c r="AE127" i="15"/>
  <c r="BA127" i="15" s="1"/>
  <c r="AC123" i="15"/>
  <c r="AY123" i="15" s="1"/>
  <c r="AJ119" i="15"/>
  <c r="BF119" i="15" s="1"/>
  <c r="AG119" i="15"/>
  <c r="BC119" i="15" s="1"/>
  <c r="AC115" i="15"/>
  <c r="AY115" i="15" s="1"/>
  <c r="AG129" i="15"/>
  <c r="BC129" i="15" s="1"/>
  <c r="Z129" i="15"/>
  <c r="AO129" i="15" s="1"/>
  <c r="AC117" i="15"/>
  <c r="AY117" i="15" s="1"/>
  <c r="AD125" i="15"/>
  <c r="AZ125" i="15" s="1"/>
  <c r="AA125" i="15"/>
  <c r="AM125" i="15" s="1"/>
  <c r="AJ128" i="15"/>
  <c r="BF128" i="15" s="1"/>
  <c r="AD124" i="15"/>
  <c r="AZ124" i="15" s="1"/>
  <c r="Y124" i="15"/>
  <c r="AX124" i="15" s="1"/>
  <c r="AJ120" i="15"/>
  <c r="BF120" i="15" s="1"/>
  <c r="AD116" i="15"/>
  <c r="AZ116" i="15" s="1"/>
  <c r="Y116" i="15"/>
  <c r="AX116" i="15" s="1"/>
  <c r="AA121" i="15"/>
  <c r="AM121" i="15" s="1"/>
  <c r="AH127" i="15"/>
  <c r="BD127" i="15" s="1"/>
  <c r="AK127" i="15"/>
  <c r="AN127" i="15" s="1"/>
  <c r="AA123" i="15"/>
  <c r="AM123" i="15" s="1"/>
  <c r="AH119" i="15"/>
  <c r="BD119" i="15" s="1"/>
  <c r="Y119" i="15"/>
  <c r="AX119" i="15" s="1"/>
  <c r="AA115" i="15"/>
  <c r="AM115" i="15" s="1"/>
  <c r="AE129" i="15"/>
  <c r="BA129" i="15" s="1"/>
  <c r="AF129" i="15"/>
  <c r="BB129" i="15" s="1"/>
  <c r="AI117" i="15"/>
  <c r="BE117" i="15" s="1"/>
  <c r="Z125" i="15"/>
  <c r="AO125" i="15" s="1"/>
  <c r="AK128" i="15"/>
  <c r="AN128" i="15" s="1"/>
  <c r="AH128" i="15"/>
  <c r="BD128" i="15" s="1"/>
  <c r="Z124" i="15"/>
  <c r="AO124" i="15" s="1"/>
  <c r="AK120" i="15"/>
  <c r="AN120" i="15" s="1"/>
  <c r="AH120" i="15"/>
  <c r="BD120" i="15" s="1"/>
  <c r="Z116" i="15"/>
  <c r="AO116" i="15" s="1"/>
  <c r="Y121" i="15"/>
  <c r="AX121" i="15" s="1"/>
  <c r="AF127" i="15"/>
  <c r="BB127" i="15" s="1"/>
  <c r="AC127" i="15"/>
  <c r="AY127" i="15" s="1"/>
  <c r="Y123" i="15"/>
  <c r="AX123" i="15" s="1"/>
  <c r="AF119" i="15"/>
  <c r="BB119" i="15" s="1"/>
  <c r="AI119" i="15"/>
  <c r="BE119" i="15" s="1"/>
  <c r="Y115" i="15"/>
  <c r="AX115" i="15" s="1"/>
  <c r="AC129" i="15"/>
  <c r="AY129" i="15" s="1"/>
  <c r="AJ117" i="15"/>
  <c r="BF117" i="15" s="1"/>
  <c r="AA117" i="15"/>
  <c r="AM117" i="15" s="1"/>
  <c r="AG125" i="15"/>
  <c r="BC125" i="15" s="1"/>
  <c r="AI128" i="15"/>
  <c r="BE128" i="15" s="1"/>
  <c r="AF128" i="15"/>
  <c r="BB128" i="15" s="1"/>
  <c r="AK124" i="15"/>
  <c r="AN124" i="15" s="1"/>
  <c r="AI120" i="15"/>
  <c r="BE120" i="15" s="1"/>
  <c r="AF120" i="15"/>
  <c r="BB120" i="15" s="1"/>
  <c r="AK116" i="15"/>
  <c r="AN116" i="15" s="1"/>
  <c r="AP115" i="15"/>
  <c r="AH121" i="15"/>
  <c r="BD121" i="15" s="1"/>
  <c r="AD127" i="15"/>
  <c r="AZ127" i="15" s="1"/>
  <c r="AI127" i="15"/>
  <c r="BE127" i="15" s="1"/>
  <c r="AJ123" i="15"/>
  <c r="BF123" i="15" s="1"/>
  <c r="AD119" i="15"/>
  <c r="AZ119" i="15" s="1"/>
  <c r="AA119" i="15"/>
  <c r="AM119" i="15" s="1"/>
  <c r="AH115" i="15"/>
  <c r="BD115" i="15" s="1"/>
  <c r="AA129" i="15"/>
  <c r="AM129" i="15" s="1"/>
  <c r="AH117" i="15"/>
  <c r="BD117" i="15" s="1"/>
  <c r="AE117" i="15"/>
  <c r="BA117" i="15" s="1"/>
  <c r="AE125" i="15"/>
  <c r="BA125" i="15" s="1"/>
  <c r="AG128" i="15"/>
  <c r="BC128" i="15" s="1"/>
  <c r="AD128" i="15"/>
  <c r="AZ128" i="15" s="1"/>
  <c r="AI124" i="15"/>
  <c r="BE124" i="15" s="1"/>
  <c r="AG120" i="15"/>
  <c r="BC120" i="15" s="1"/>
  <c r="AD120" i="15"/>
  <c r="AZ120" i="15" s="1"/>
  <c r="AI116" i="15"/>
  <c r="BE116" i="15" s="1"/>
  <c r="AK121" i="15"/>
  <c r="AN121" i="15" s="1"/>
  <c r="Z121" i="15"/>
  <c r="AO121" i="15" s="1"/>
  <c r="Z127" i="15"/>
  <c r="AO127" i="15" s="1"/>
  <c r="AK123" i="15"/>
  <c r="AN123" i="15" s="1"/>
  <c r="AD123" i="15"/>
  <c r="AZ123" i="15" s="1"/>
  <c r="Z119" i="15"/>
  <c r="AO119" i="15" s="1"/>
  <c r="AK115" i="15"/>
  <c r="AN115" i="15" s="1"/>
  <c r="Z115" i="15"/>
  <c r="AO115" i="15" s="1"/>
  <c r="Y129" i="15"/>
  <c r="AX129" i="15" s="1"/>
  <c r="AF117" i="15"/>
  <c r="BB117" i="15" s="1"/>
  <c r="AG117" i="15"/>
  <c r="BC117" i="15" s="1"/>
  <c r="AP129" i="15"/>
  <c r="AJ125" i="15"/>
  <c r="BF125" i="15" s="1"/>
  <c r="AC125" i="15"/>
  <c r="AY125" i="15" s="1"/>
  <c r="AC128" i="15"/>
  <c r="AY128" i="15" s="1"/>
  <c r="AJ124" i="15"/>
  <c r="BF124" i="15" s="1"/>
  <c r="AE124" i="15"/>
  <c r="BA124" i="15" s="1"/>
  <c r="AC120" i="15"/>
  <c r="AY120" i="15" s="1"/>
  <c r="AJ116" i="15"/>
  <c r="BF116" i="15" s="1"/>
  <c r="AE116" i="15"/>
  <c r="BA116" i="15" s="1"/>
  <c r="AG121" i="15"/>
  <c r="BC121" i="15" s="1"/>
  <c r="AJ121" i="15"/>
  <c r="BF121" i="15" s="1"/>
  <c r="Y127" i="15"/>
  <c r="AX127" i="15" s="1"/>
  <c r="AG123" i="15"/>
  <c r="BC123" i="15" s="1"/>
  <c r="Z123" i="15"/>
  <c r="AO123" i="15" s="1"/>
  <c r="AK119" i="15"/>
  <c r="AN119" i="15" s="1"/>
  <c r="AG115" i="15"/>
  <c r="BC115" i="15" s="1"/>
  <c r="AD115" i="15"/>
  <c r="AZ115" i="15" s="1"/>
  <c r="AK129" i="15"/>
  <c r="AN129" i="15" s="1"/>
  <c r="AD129" i="15"/>
  <c r="AZ129" i="15" s="1"/>
  <c r="Z117" i="15"/>
  <c r="AO117" i="15" s="1"/>
  <c r="AA128" i="15"/>
  <c r="AM128" i="15" s="1"/>
  <c r="AH116" i="15"/>
  <c r="BD116" i="15" s="1"/>
  <c r="AA127" i="15"/>
  <c r="AM127" i="15" s="1"/>
  <c r="AE115" i="15"/>
  <c r="BA115" i="15" s="1"/>
  <c r="AH129" i="15"/>
  <c r="BD129" i="15" s="1"/>
  <c r="AG113" i="15"/>
  <c r="BC113" i="15" s="1"/>
  <c r="BS113" i="15" s="1"/>
  <c r="Z113" i="15"/>
  <c r="AO113" i="15" s="1"/>
  <c r="AJ126" i="15"/>
  <c r="BF126" i="15" s="1"/>
  <c r="AD122" i="15"/>
  <c r="AZ122" i="15" s="1"/>
  <c r="Y122" i="15"/>
  <c r="AX122" i="15" s="1"/>
  <c r="AJ118" i="15"/>
  <c r="BF118" i="15" s="1"/>
  <c r="AD114" i="15"/>
  <c r="AZ114" i="15" s="1"/>
  <c r="BP114" i="15" s="1"/>
  <c r="Y114" i="15"/>
  <c r="AX114" i="15" s="1"/>
  <c r="BN114" i="15" s="1"/>
  <c r="AJ122" i="15"/>
  <c r="BF122" i="15" s="1"/>
  <c r="AJ114" i="15"/>
  <c r="BF114" i="15" s="1"/>
  <c r="BV114" i="15" s="1"/>
  <c r="AC114" i="15"/>
  <c r="AY114" i="15" s="1"/>
  <c r="BO114" i="15" s="1"/>
  <c r="Y126" i="15"/>
  <c r="AX126" i="15" s="1"/>
  <c r="AF114" i="15"/>
  <c r="BB114" i="15" s="1"/>
  <c r="BR114" i="15" s="1"/>
  <c r="Z128" i="15"/>
  <c r="AO128" i="15" s="1"/>
  <c r="AG116" i="15"/>
  <c r="BC116" i="15" s="1"/>
  <c r="AI121" i="15"/>
  <c r="BE121" i="15" s="1"/>
  <c r="AI123" i="15"/>
  <c r="BE123" i="15" s="1"/>
  <c r="AF115" i="15"/>
  <c r="BB115" i="15" s="1"/>
  <c r="AD117" i="15"/>
  <c r="AZ117" i="15" s="1"/>
  <c r="AE113" i="15"/>
  <c r="BA113" i="15" s="1"/>
  <c r="BQ113" i="15" s="1"/>
  <c r="AJ113" i="15"/>
  <c r="BF113" i="15" s="1"/>
  <c r="BV113" i="15" s="1"/>
  <c r="AK126" i="15"/>
  <c r="AN126" i="15" s="1"/>
  <c r="AH126" i="15"/>
  <c r="BD126" i="15" s="1"/>
  <c r="Z122" i="15"/>
  <c r="AO122" i="15" s="1"/>
  <c r="AK118" i="15"/>
  <c r="AN118" i="15" s="1"/>
  <c r="AH118" i="15"/>
  <c r="BD118" i="15" s="1"/>
  <c r="Z114" i="15"/>
  <c r="AO114" i="15" s="1"/>
  <c r="AF113" i="15"/>
  <c r="BB113" i="15" s="1"/>
  <c r="BR113" i="15" s="1"/>
  <c r="AE122" i="15"/>
  <c r="BA122" i="15" s="1"/>
  <c r="Z120" i="15"/>
  <c r="AO120" i="15" s="1"/>
  <c r="AJ129" i="15"/>
  <c r="BF129" i="15" s="1"/>
  <c r="AD113" i="15"/>
  <c r="AZ113" i="15" s="1"/>
  <c r="BP113" i="15" s="1"/>
  <c r="AF122" i="15"/>
  <c r="BB122" i="15" s="1"/>
  <c r="AA114" i="15"/>
  <c r="AM114" i="15" s="1"/>
  <c r="AH124" i="15"/>
  <c r="BD124" i="15" s="1"/>
  <c r="AC116" i="15"/>
  <c r="AY116" i="15" s="1"/>
  <c r="AE121" i="15"/>
  <c r="BA121" i="15" s="1"/>
  <c r="AE123" i="15"/>
  <c r="BA123" i="15" s="1"/>
  <c r="AJ115" i="15"/>
  <c r="BF115" i="15" s="1"/>
  <c r="AK117" i="15"/>
  <c r="AN117" i="15" s="1"/>
  <c r="AC113" i="15"/>
  <c r="AY113" i="15" s="1"/>
  <c r="BO113" i="15" s="1"/>
  <c r="AI126" i="15"/>
  <c r="BE126" i="15" s="1"/>
  <c r="AF126" i="15"/>
  <c r="BB126" i="15" s="1"/>
  <c r="AK122" i="15"/>
  <c r="AN122" i="15" s="1"/>
  <c r="AI118" i="15"/>
  <c r="BE118" i="15" s="1"/>
  <c r="AF118" i="15"/>
  <c r="BB118" i="15" s="1"/>
  <c r="AK114" i="15"/>
  <c r="AN114" i="15" s="1"/>
  <c r="AP125" i="15"/>
  <c r="AG124" i="15"/>
  <c r="BC124" i="15" s="1"/>
  <c r="AF121" i="15"/>
  <c r="BB121" i="15" s="1"/>
  <c r="AH123" i="15"/>
  <c r="BD123" i="15" s="1"/>
  <c r="Y117" i="15"/>
  <c r="AX117" i="15" s="1"/>
  <c r="AA113" i="15"/>
  <c r="AM113" i="15" s="1"/>
  <c r="AG126" i="15"/>
  <c r="BC126" i="15" s="1"/>
  <c r="AD126" i="15"/>
  <c r="AZ126" i="15" s="1"/>
  <c r="AI122" i="15"/>
  <c r="BE122" i="15" s="1"/>
  <c r="AG118" i="15"/>
  <c r="BC118" i="15" s="1"/>
  <c r="AD118" i="15"/>
  <c r="AZ118" i="15" s="1"/>
  <c r="AI114" i="15"/>
  <c r="BE114" i="15" s="1"/>
  <c r="BU114" i="15" s="1"/>
  <c r="AH125" i="15"/>
  <c r="BD125" i="15" s="1"/>
  <c r="AE119" i="15"/>
  <c r="BA119" i="15" s="1"/>
  <c r="AC118" i="15"/>
  <c r="AY118" i="15" s="1"/>
  <c r="Y125" i="15"/>
  <c r="AX125" i="15" s="1"/>
  <c r="AE128" i="15"/>
  <c r="BA128" i="15" s="1"/>
  <c r="AI115" i="15"/>
  <c r="BE115" i="15" s="1"/>
  <c r="AA122" i="15"/>
  <c r="AM122" i="15" s="1"/>
  <c r="AC124" i="15"/>
  <c r="AY124" i="15" s="1"/>
  <c r="AD121" i="15"/>
  <c r="AZ121" i="15" s="1"/>
  <c r="AF123" i="15"/>
  <c r="BB123" i="15" s="1"/>
  <c r="Y113" i="15"/>
  <c r="AX113" i="15" s="1"/>
  <c r="BN113" i="15" s="1"/>
  <c r="AE126" i="15"/>
  <c r="BA126" i="15" s="1"/>
  <c r="Z126" i="15"/>
  <c r="AO126" i="15" s="1"/>
  <c r="AG122" i="15"/>
  <c r="BC122" i="15" s="1"/>
  <c r="AE118" i="15"/>
  <c r="BA118" i="15" s="1"/>
  <c r="Z118" i="15"/>
  <c r="AO118" i="15" s="1"/>
  <c r="AG114" i="15"/>
  <c r="BC114" i="15" s="1"/>
  <c r="BS114" i="15" s="1"/>
  <c r="AE120" i="15"/>
  <c r="BA120" i="15" s="1"/>
  <c r="AC126" i="15"/>
  <c r="AY126" i="15" s="1"/>
  <c r="AE114" i="15"/>
  <c r="BA114" i="15" s="1"/>
  <c r="BQ114" i="15" s="1"/>
  <c r="AG127" i="15"/>
  <c r="BC127" i="15" s="1"/>
  <c r="AI113" i="15"/>
  <c r="BE113" i="15" s="1"/>
  <c r="BU113" i="15" s="1"/>
  <c r="Y118" i="15"/>
  <c r="AX118" i="15" s="1"/>
  <c r="AK125" i="15"/>
  <c r="AN125" i="15" s="1"/>
  <c r="AA120" i="15"/>
  <c r="AM120" i="15" s="1"/>
  <c r="AC119" i="15"/>
  <c r="AY119" i="15" s="1"/>
  <c r="AI129" i="15"/>
  <c r="BE129" i="15" s="1"/>
  <c r="AK113" i="15"/>
  <c r="AN113" i="15" s="1"/>
  <c r="AH113" i="15"/>
  <c r="BD113" i="15" s="1"/>
  <c r="BT113" i="15" s="1"/>
  <c r="AA126" i="15"/>
  <c r="AM126" i="15" s="1"/>
  <c r="AH122" i="15"/>
  <c r="BD122" i="15" s="1"/>
  <c r="AC122" i="15"/>
  <c r="AY122" i="15" s="1"/>
  <c r="AA118" i="15"/>
  <c r="AM118" i="15" s="1"/>
  <c r="AH114" i="15"/>
  <c r="BD114" i="15" s="1"/>
  <c r="BT114" i="15" s="1"/>
  <c r="AD71" i="15"/>
  <c r="BB71" i="15" s="1"/>
  <c r="AC74" i="15"/>
  <c r="BA74" i="15" s="1"/>
  <c r="Y69" i="15"/>
  <c r="AZ69" i="15" s="1"/>
  <c r="AH73" i="15"/>
  <c r="BF73" i="15" s="1"/>
  <c r="AE75" i="15"/>
  <c r="BC75" i="15" s="1"/>
  <c r="AF69" i="15"/>
  <c r="BD69" i="15" s="1"/>
  <c r="Z73" i="15"/>
  <c r="AP73" i="15" s="1"/>
  <c r="AI73" i="15"/>
  <c r="BG73" i="15" s="1"/>
  <c r="AH71" i="15"/>
  <c r="BF71" i="15" s="1"/>
  <c r="AD74" i="15"/>
  <c r="BB74" i="15" s="1"/>
  <c r="AA73" i="15"/>
  <c r="AN73" i="15" s="1"/>
  <c r="AJ71" i="15"/>
  <c r="BH71" i="15" s="1"/>
  <c r="AF72" i="15"/>
  <c r="BD72" i="15" s="1"/>
  <c r="AH70" i="15"/>
  <c r="BF70" i="15" s="1"/>
  <c r="AE74" i="15"/>
  <c r="BC74" i="15" s="1"/>
  <c r="AG71" i="15"/>
  <c r="BE71" i="15" s="1"/>
  <c r="AG69" i="15"/>
  <c r="BE69" i="15" s="1"/>
  <c r="AG74" i="15"/>
  <c r="BE74" i="15" s="1"/>
  <c r="Z75" i="15"/>
  <c r="AP75" i="15" s="1"/>
  <c r="AE69" i="15"/>
  <c r="BC69" i="15" s="1"/>
  <c r="Z71" i="15"/>
  <c r="AP71" i="15" s="1"/>
  <c r="AK70" i="15"/>
  <c r="AO70" i="15" s="1"/>
  <c r="AE72" i="15"/>
  <c r="BC72" i="15" s="1"/>
  <c r="AK73" i="15"/>
  <c r="AO73" i="15" s="1"/>
  <c r="AA75" i="15"/>
  <c r="AN75" i="15" s="1"/>
  <c r="AL74" i="15"/>
  <c r="AR74" i="15" s="1"/>
  <c r="AJ72" i="15"/>
  <c r="BH72" i="15" s="1"/>
  <c r="AJ69" i="15"/>
  <c r="BH69" i="15" s="1"/>
  <c r="AQ74" i="15"/>
  <c r="AI71" i="15"/>
  <c r="BG71" i="15" s="1"/>
  <c r="AF70" i="15"/>
  <c r="BD70" i="15" s="1"/>
  <c r="AQ71" i="15"/>
  <c r="AF74" i="15"/>
  <c r="BD74" i="15" s="1"/>
  <c r="AE71" i="15"/>
  <c r="BC71" i="15" s="1"/>
  <c r="AK69" i="15"/>
  <c r="AO69" i="15" s="1"/>
  <c r="AC75" i="15"/>
  <c r="BA75" i="15" s="1"/>
  <c r="AE70" i="15"/>
  <c r="BC70" i="15" s="1"/>
  <c r="AA74" i="15"/>
  <c r="AN74" i="15" s="1"/>
  <c r="Z69" i="15"/>
  <c r="AP69" i="15" s="1"/>
  <c r="AH75" i="15"/>
  <c r="BF75" i="15" s="1"/>
  <c r="AJ75" i="15"/>
  <c r="BH75" i="15" s="1"/>
  <c r="AA69" i="15"/>
  <c r="AN69" i="15" s="1"/>
  <c r="AJ73" i="15"/>
  <c r="BH73" i="15" s="1"/>
  <c r="AA72" i="15"/>
  <c r="AN72" i="15" s="1"/>
  <c r="AC71" i="15"/>
  <c r="BA71" i="15" s="1"/>
  <c r="Y74" i="15"/>
  <c r="AZ74" i="15" s="1"/>
  <c r="AH72" i="15"/>
  <c r="BF72" i="15" s="1"/>
  <c r="AI69" i="15"/>
  <c r="BG69" i="15" s="1"/>
  <c r="Y70" i="15"/>
  <c r="AZ70" i="15" s="1"/>
  <c r="AF75" i="15"/>
  <c r="BD75" i="15" s="1"/>
  <c r="AA70" i="15"/>
  <c r="AN70" i="15" s="1"/>
  <c r="AF71" i="15"/>
  <c r="BD71" i="15" s="1"/>
  <c r="AK71" i="15"/>
  <c r="AO71" i="15" s="1"/>
  <c r="AD69" i="15"/>
  <c r="BB69" i="15" s="1"/>
  <c r="Y71" i="15"/>
  <c r="AZ71" i="15" s="1"/>
  <c r="AD70" i="15"/>
  <c r="BB70" i="15" s="1"/>
  <c r="Z72" i="15"/>
  <c r="AP72" i="15" s="1"/>
  <c r="AK74" i="15"/>
  <c r="AO74" i="15" s="1"/>
  <c r="AG72" i="15"/>
  <c r="BE72" i="15" s="1"/>
  <c r="Y73" i="15"/>
  <c r="AZ73" i="15" s="1"/>
  <c r="AG70" i="15"/>
  <c r="BE70" i="15" s="1"/>
  <c r="AL75" i="15"/>
  <c r="AR75" i="15" s="1"/>
  <c r="AJ74" i="15"/>
  <c r="BH74" i="15" s="1"/>
  <c r="AD75" i="15"/>
  <c r="BB75" i="15" s="1"/>
  <c r="AC69" i="15"/>
  <c r="BA69" i="15" s="1"/>
  <c r="AC73" i="15"/>
  <c r="BA73" i="15" s="1"/>
  <c r="AG73" i="15"/>
  <c r="BE73" i="15" s="1"/>
  <c r="AQ73" i="15"/>
  <c r="AL73" i="15"/>
  <c r="AR73" i="15" s="1"/>
  <c r="AE73" i="15"/>
  <c r="BC73" i="15" s="1"/>
  <c r="AD72" i="15"/>
  <c r="BB72" i="15" s="1"/>
  <c r="AH69" i="15"/>
  <c r="BF69" i="15" s="1"/>
  <c r="AL72" i="15"/>
  <c r="AR72" i="15" s="1"/>
  <c r="AC70" i="15"/>
  <c r="BA70" i="15" s="1"/>
  <c r="AL69" i="15"/>
  <c r="AR69" i="15" s="1"/>
  <c r="Y72" i="15"/>
  <c r="AZ72" i="15" s="1"/>
  <c r="AD73" i="15"/>
  <c r="BB73" i="15" s="1"/>
  <c r="AC72" i="15"/>
  <c r="BA72" i="15" s="1"/>
  <c r="AG75" i="15"/>
  <c r="BE75" i="15" s="1"/>
  <c r="AF73" i="15"/>
  <c r="BD73" i="15" s="1"/>
  <c r="Y75" i="15"/>
  <c r="AZ75" i="15" s="1"/>
  <c r="AL70" i="15"/>
  <c r="AR70" i="15" s="1"/>
  <c r="AL71" i="15"/>
  <c r="AR71" i="15" s="1"/>
  <c r="AH74" i="15"/>
  <c r="BF74" i="15" s="1"/>
  <c r="AK72" i="15"/>
  <c r="AO72" i="15" s="1"/>
  <c r="Z70" i="15"/>
  <c r="AP70" i="15" s="1"/>
  <c r="AI74" i="15"/>
  <c r="BG74" i="15" s="1"/>
  <c r="AK75" i="15"/>
  <c r="AO75" i="15" s="1"/>
  <c r="AA71" i="15"/>
  <c r="AN71" i="15" s="1"/>
  <c r="AJ70" i="15"/>
  <c r="BH70" i="15" s="1"/>
  <c r="AI72" i="15"/>
  <c r="BG72" i="15" s="1"/>
  <c r="Z74" i="15"/>
  <c r="AP74" i="15" s="1"/>
  <c r="AI70" i="15"/>
  <c r="BG70" i="15" s="1"/>
  <c r="AI75" i="15"/>
  <c r="BG75" i="15" s="1"/>
  <c r="AC100" i="15"/>
  <c r="AX100" i="15" s="1"/>
  <c r="AI98" i="15"/>
  <c r="BD98" i="15" s="1"/>
  <c r="AF90" i="15"/>
  <c r="BA90" i="15" s="1"/>
  <c r="AE90" i="15"/>
  <c r="AZ90" i="15" s="1"/>
  <c r="AB92" i="15"/>
  <c r="AW92" i="15" s="1"/>
  <c r="AE99" i="15"/>
  <c r="AZ99" i="15" s="1"/>
  <c r="AB99" i="15"/>
  <c r="AW99" i="15" s="1"/>
  <c r="AI97" i="15"/>
  <c r="BD97" i="15" s="1"/>
  <c r="AF89" i="15"/>
  <c r="BA89" i="15" s="1"/>
  <c r="AA89" i="15"/>
  <c r="AL89" i="15" s="1"/>
  <c r="Y96" i="15"/>
  <c r="AV96" i="15" s="1"/>
  <c r="AG88" i="15"/>
  <c r="BB88" i="15" s="1"/>
  <c r="AB88" i="15"/>
  <c r="AW88" i="15" s="1"/>
  <c r="AJ95" i="15"/>
  <c r="AM95" i="15" s="1"/>
  <c r="AE95" i="15"/>
  <c r="AZ95" i="15" s="1"/>
  <c r="AB87" i="15"/>
  <c r="AW87" i="15" s="1"/>
  <c r="AI100" i="15"/>
  <c r="BD100" i="15" s="1"/>
  <c r="AA98" i="15"/>
  <c r="AL98" i="15" s="1"/>
  <c r="AD90" i="15"/>
  <c r="AY90" i="15" s="1"/>
  <c r="AC90" i="15"/>
  <c r="AX90" i="15" s="1"/>
  <c r="Z92" i="15"/>
  <c r="AN92" i="15" s="1"/>
  <c r="AC99" i="15"/>
  <c r="AX99" i="15" s="1"/>
  <c r="Z99" i="15"/>
  <c r="AN99" i="15" s="1"/>
  <c r="AG97" i="15"/>
  <c r="BB97" i="15" s="1"/>
  <c r="AD89" i="15"/>
  <c r="AY89" i="15" s="1"/>
  <c r="Y89" i="15"/>
  <c r="AV89" i="15" s="1"/>
  <c r="AF96" i="15"/>
  <c r="BA96" i="15" s="1"/>
  <c r="AE88" i="15"/>
  <c r="AZ88" i="15" s="1"/>
  <c r="AH88" i="15"/>
  <c r="BC88" i="15" s="1"/>
  <c r="AH95" i="15"/>
  <c r="BC95" i="15" s="1"/>
  <c r="AC95" i="15"/>
  <c r="AX95" i="15" s="1"/>
  <c r="Z87" i="15"/>
  <c r="AN87" i="15" s="1"/>
  <c r="AJ100" i="15"/>
  <c r="AM100" i="15" s="1"/>
  <c r="AA100" i="15"/>
  <c r="AL100" i="15" s="1"/>
  <c r="AJ98" i="15"/>
  <c r="AM98" i="15" s="1"/>
  <c r="AG98" i="15"/>
  <c r="BB98" i="15" s="1"/>
  <c r="AB90" i="15"/>
  <c r="AW90" i="15" s="1"/>
  <c r="AI92" i="15"/>
  <c r="BD92" i="15" s="1"/>
  <c r="AA99" i="15"/>
  <c r="AL99" i="15" s="1"/>
  <c r="AJ97" i="15"/>
  <c r="AM97" i="15" s="1"/>
  <c r="AE97" i="15"/>
  <c r="AZ97" i="15" s="1"/>
  <c r="AB89" i="15"/>
  <c r="AW89" i="15" s="1"/>
  <c r="AD96" i="15"/>
  <c r="AY96" i="15" s="1"/>
  <c r="AC88" i="15"/>
  <c r="AX88" i="15" s="1"/>
  <c r="Z88" i="15"/>
  <c r="AN88" i="15" s="1"/>
  <c r="AF95" i="15"/>
  <c r="BA95" i="15" s="1"/>
  <c r="AA95" i="15"/>
  <c r="AL95" i="15" s="1"/>
  <c r="AI87" i="15"/>
  <c r="BD87" i="15" s="1"/>
  <c r="AI102" i="15"/>
  <c r="BD102" i="15" s="1"/>
  <c r="AH100" i="15"/>
  <c r="BC100" i="15" s="1"/>
  <c r="AE100" i="15"/>
  <c r="AZ100" i="15" s="1"/>
  <c r="AH98" i="15"/>
  <c r="BC98" i="15" s="1"/>
  <c r="Y98" i="15"/>
  <c r="AV98" i="15" s="1"/>
  <c r="Z90" i="15"/>
  <c r="AN90" i="15" s="1"/>
  <c r="AA92" i="15"/>
  <c r="AL92" i="15" s="1"/>
  <c r="Y99" i="15"/>
  <c r="AV99" i="15" s="1"/>
  <c r="AH97" i="15"/>
  <c r="BC97" i="15" s="1"/>
  <c r="AC97" i="15"/>
  <c r="AX97" i="15" s="1"/>
  <c r="Z89" i="15"/>
  <c r="AN89" i="15" s="1"/>
  <c r="AI96" i="15"/>
  <c r="BD96" i="15" s="1"/>
  <c r="AH96" i="15"/>
  <c r="BC96" i="15" s="1"/>
  <c r="AA88" i="15"/>
  <c r="AL88" i="15" s="1"/>
  <c r="AD95" i="15"/>
  <c r="AY95" i="15" s="1"/>
  <c r="Y95" i="15"/>
  <c r="AV95" i="15" s="1"/>
  <c r="AG87" i="15"/>
  <c r="BB87" i="15" s="1"/>
  <c r="AG102" i="15"/>
  <c r="BB102" i="15" s="1"/>
  <c r="AF100" i="15"/>
  <c r="BA100" i="15" s="1"/>
  <c r="AG100" i="15"/>
  <c r="BB100" i="15" s="1"/>
  <c r="AF98" i="15"/>
  <c r="BA98" i="15" s="1"/>
  <c r="AC98" i="15"/>
  <c r="AX98" i="15" s="1"/>
  <c r="AI90" i="15"/>
  <c r="BD90" i="15" s="1"/>
  <c r="AJ92" i="15"/>
  <c r="AM92" i="15" s="1"/>
  <c r="AC92" i="15"/>
  <c r="AX92" i="15" s="1"/>
  <c r="AJ99" i="15"/>
  <c r="AM99" i="15" s="1"/>
  <c r="AF97" i="15"/>
  <c r="BA97" i="15" s="1"/>
  <c r="AA97" i="15"/>
  <c r="AL97" i="15" s="1"/>
  <c r="AI89" i="15"/>
  <c r="BD89" i="15" s="1"/>
  <c r="AG96" i="15"/>
  <c r="BB96" i="15" s="1"/>
  <c r="Z96" i="15"/>
  <c r="AN96" i="15" s="1"/>
  <c r="Y88" i="15"/>
  <c r="AV88" i="15" s="1"/>
  <c r="AB95" i="15"/>
  <c r="AW95" i="15" s="1"/>
  <c r="AJ87" i="15"/>
  <c r="AM87" i="15" s="1"/>
  <c r="AE87" i="15"/>
  <c r="AZ87" i="15" s="1"/>
  <c r="AE102" i="15"/>
  <c r="AZ102" i="15" s="1"/>
  <c r="AB100" i="15"/>
  <c r="AW100" i="15" s="1"/>
  <c r="AB98" i="15"/>
  <c r="AW98" i="15" s="1"/>
  <c r="AJ90" i="15"/>
  <c r="AM90" i="15" s="1"/>
  <c r="Y90" i="15"/>
  <c r="AV90" i="15" s="1"/>
  <c r="AF92" i="15"/>
  <c r="BA92" i="15" s="1"/>
  <c r="Y92" i="15"/>
  <c r="AV92" i="15" s="1"/>
  <c r="AI99" i="15"/>
  <c r="BD99" i="15" s="1"/>
  <c r="AF99" i="15"/>
  <c r="BA99" i="15" s="1"/>
  <c r="AB97" i="15"/>
  <c r="AW97" i="15" s="1"/>
  <c r="AJ89" i="15"/>
  <c r="AM89" i="15" s="1"/>
  <c r="AE89" i="15"/>
  <c r="AZ89" i="15" s="1"/>
  <c r="AC96" i="15"/>
  <c r="AX96" i="15" s="1"/>
  <c r="AB96" i="15"/>
  <c r="AW96" i="15" s="1"/>
  <c r="AF88" i="15"/>
  <c r="BA88" i="15" s="1"/>
  <c r="AI95" i="15"/>
  <c r="BD95" i="15" s="1"/>
  <c r="AF87" i="15"/>
  <c r="BA87" i="15" s="1"/>
  <c r="AA87" i="15"/>
  <c r="AL87" i="15" s="1"/>
  <c r="AA102" i="15"/>
  <c r="AL102" i="15" s="1"/>
  <c r="AE98" i="15"/>
  <c r="AZ98" i="15" s="1"/>
  <c r="AJ88" i="15"/>
  <c r="AM88" i="15" s="1"/>
  <c r="AB102" i="15"/>
  <c r="AW102" i="15" s="1"/>
  <c r="AJ94" i="15"/>
  <c r="AM94" i="15" s="1"/>
  <c r="AC86" i="15"/>
  <c r="AX86" i="15" s="1"/>
  <c r="AF86" i="15"/>
  <c r="BA86" i="15" s="1"/>
  <c r="AJ91" i="15"/>
  <c r="AM91" i="15" s="1"/>
  <c r="AC101" i="15"/>
  <c r="AX101" i="15" s="1"/>
  <c r="Z101" i="15"/>
  <c r="AN101" i="15" s="1"/>
  <c r="AH93" i="15"/>
  <c r="BC93" i="15" s="1"/>
  <c r="AC85" i="15"/>
  <c r="AX85" i="15" s="1"/>
  <c r="Z85" i="15"/>
  <c r="AN85" i="15" s="1"/>
  <c r="AC87" i="15"/>
  <c r="AX87" i="15" s="1"/>
  <c r="AA94" i="15"/>
  <c r="AL94" i="15" s="1"/>
  <c r="Z91" i="15"/>
  <c r="AN91" i="15" s="1"/>
  <c r="AA93" i="15"/>
  <c r="AL93" i="15" s="1"/>
  <c r="AJ102" i="15"/>
  <c r="AM102" i="15" s="1"/>
  <c r="Y91" i="15"/>
  <c r="AV91" i="15" s="1"/>
  <c r="AB101" i="15"/>
  <c r="AW101" i="15" s="1"/>
  <c r="AH90" i="15"/>
  <c r="BC90" i="15" s="1"/>
  <c r="AH92" i="15"/>
  <c r="BC92" i="15" s="1"/>
  <c r="AD97" i="15"/>
  <c r="AY97" i="15" s="1"/>
  <c r="Z95" i="15"/>
  <c r="AN95" i="15" s="1"/>
  <c r="AC102" i="15"/>
  <c r="AX102" i="15" s="1"/>
  <c r="AI94" i="15"/>
  <c r="BD94" i="15" s="1"/>
  <c r="AB94" i="15"/>
  <c r="AW94" i="15" s="1"/>
  <c r="AA86" i="15"/>
  <c r="AL86" i="15" s="1"/>
  <c r="AH91" i="15"/>
  <c r="BC91" i="15" s="1"/>
  <c r="AA101" i="15"/>
  <c r="AL101" i="15" s="1"/>
  <c r="AI93" i="15"/>
  <c r="BD93" i="15" s="1"/>
  <c r="AF93" i="15"/>
  <c r="BA93" i="15" s="1"/>
  <c r="AA85" i="15"/>
  <c r="AL85" i="15" s="1"/>
  <c r="AI86" i="15"/>
  <c r="BD86" i="15" s="1"/>
  <c r="AI101" i="15"/>
  <c r="BD101" i="15" s="1"/>
  <c r="AF85" i="15"/>
  <c r="BA85" i="15" s="1"/>
  <c r="AE86" i="15"/>
  <c r="AZ86" i="15" s="1"/>
  <c r="AJ93" i="15"/>
  <c r="AM93" i="15" s="1"/>
  <c r="AD100" i="15"/>
  <c r="AY100" i="15" s="1"/>
  <c r="AG90" i="15"/>
  <c r="BB90" i="15" s="1"/>
  <c r="AD92" i="15"/>
  <c r="AY92" i="15" s="1"/>
  <c r="AG99" i="15"/>
  <c r="BB99" i="15" s="1"/>
  <c r="Z97" i="15"/>
  <c r="AN97" i="15" s="1"/>
  <c r="AG95" i="15"/>
  <c r="BB95" i="15" s="1"/>
  <c r="Y102" i="15"/>
  <c r="AV102" i="15" s="1"/>
  <c r="AG94" i="15"/>
  <c r="BB94" i="15" s="1"/>
  <c r="AF94" i="15"/>
  <c r="BA94" i="15" s="1"/>
  <c r="Y86" i="15"/>
  <c r="AV86" i="15" s="1"/>
  <c r="AI91" i="15"/>
  <c r="BD91" i="15" s="1"/>
  <c r="AF91" i="15"/>
  <c r="BA91" i="15" s="1"/>
  <c r="Y101" i="15"/>
  <c r="AV101" i="15" s="1"/>
  <c r="AG93" i="15"/>
  <c r="BB93" i="15" s="1"/>
  <c r="AD93" i="15"/>
  <c r="AY93" i="15" s="1"/>
  <c r="Y85" i="15"/>
  <c r="AV85" i="15" s="1"/>
  <c r="Z100" i="15"/>
  <c r="AN100" i="15" s="1"/>
  <c r="AA90" i="15"/>
  <c r="AL90" i="15" s="1"/>
  <c r="AG92" i="15"/>
  <c r="BB92" i="15" s="1"/>
  <c r="AH99" i="15"/>
  <c r="BC99" i="15" s="1"/>
  <c r="Y97" i="15"/>
  <c r="AV97" i="15" s="1"/>
  <c r="AE96" i="15"/>
  <c r="AZ96" i="15" s="1"/>
  <c r="AH87" i="15"/>
  <c r="BC87" i="15" s="1"/>
  <c r="AF102" i="15"/>
  <c r="BA102" i="15" s="1"/>
  <c r="AE94" i="15"/>
  <c r="AZ94" i="15" s="1"/>
  <c r="AH94" i="15"/>
  <c r="BC94" i="15" s="1"/>
  <c r="AD86" i="15"/>
  <c r="AY86" i="15" s="1"/>
  <c r="AG91" i="15"/>
  <c r="BB91" i="15" s="1"/>
  <c r="AD91" i="15"/>
  <c r="AY91" i="15" s="1"/>
  <c r="AJ101" i="15"/>
  <c r="AM101" i="15" s="1"/>
  <c r="AE93" i="15"/>
  <c r="AZ93" i="15" s="1"/>
  <c r="AB93" i="15"/>
  <c r="AW93" i="15" s="1"/>
  <c r="AJ85" i="15"/>
  <c r="AM85" i="15" s="1"/>
  <c r="AG89" i="15"/>
  <c r="BB89" i="15" s="1"/>
  <c r="AJ96" i="15"/>
  <c r="AM96" i="15" s="1"/>
  <c r="AC91" i="15"/>
  <c r="AX91" i="15" s="1"/>
  <c r="AI85" i="15"/>
  <c r="BD85" i="15" s="1"/>
  <c r="AD88" i="15"/>
  <c r="AY88" i="15" s="1"/>
  <c r="Z86" i="15"/>
  <c r="AN86" i="15" s="1"/>
  <c r="AE85" i="15"/>
  <c r="AZ85" i="15" s="1"/>
  <c r="Y100" i="15"/>
  <c r="AV100" i="15" s="1"/>
  <c r="AE92" i="15"/>
  <c r="AZ92" i="15" s="1"/>
  <c r="AD99" i="15"/>
  <c r="AY99" i="15" s="1"/>
  <c r="AH89" i="15"/>
  <c r="BC89" i="15" s="1"/>
  <c r="AA96" i="15"/>
  <c r="AL96" i="15" s="1"/>
  <c r="AD87" i="15"/>
  <c r="AY87" i="15" s="1"/>
  <c r="AH102" i="15"/>
  <c r="BC102" i="15" s="1"/>
  <c r="AC94" i="15"/>
  <c r="AX94" i="15" s="1"/>
  <c r="Z94" i="15"/>
  <c r="AN94" i="15" s="1"/>
  <c r="AJ86" i="15"/>
  <c r="AM86" i="15" s="1"/>
  <c r="AE91" i="15"/>
  <c r="AZ91" i="15" s="1"/>
  <c r="AB91" i="15"/>
  <c r="AW91" i="15" s="1"/>
  <c r="AH101" i="15"/>
  <c r="BC101" i="15" s="1"/>
  <c r="AC93" i="15"/>
  <c r="AX93" i="15" s="1"/>
  <c r="Z93" i="15"/>
  <c r="AN93" i="15" s="1"/>
  <c r="AH85" i="15"/>
  <c r="BC85" i="15" s="1"/>
  <c r="AD102" i="15"/>
  <c r="AY102" i="15" s="1"/>
  <c r="AB86" i="15"/>
  <c r="AW86" i="15" s="1"/>
  <c r="AF101" i="15"/>
  <c r="BA101" i="15" s="1"/>
  <c r="Z98" i="15"/>
  <c r="AN98" i="15" s="1"/>
  <c r="AD94" i="15"/>
  <c r="AY94" i="15" s="1"/>
  <c r="AE101" i="15"/>
  <c r="AZ101" i="15" s="1"/>
  <c r="AB85" i="15"/>
  <c r="AW85" i="15" s="1"/>
  <c r="AD98" i="15"/>
  <c r="AY98" i="15" s="1"/>
  <c r="AC89" i="15"/>
  <c r="AX89" i="15" s="1"/>
  <c r="AI88" i="15"/>
  <c r="BD88" i="15" s="1"/>
  <c r="Y87" i="15"/>
  <c r="AV87" i="15" s="1"/>
  <c r="Z102" i="15"/>
  <c r="AN102" i="15" s="1"/>
  <c r="Y94" i="15"/>
  <c r="AV94" i="15" s="1"/>
  <c r="AG86" i="15"/>
  <c r="BB86" i="15" s="1"/>
  <c r="AH86" i="15"/>
  <c r="BC86" i="15" s="1"/>
  <c r="AA91" i="15"/>
  <c r="AL91" i="15" s="1"/>
  <c r="AG101" i="15"/>
  <c r="BB101" i="15" s="1"/>
  <c r="AD101" i="15"/>
  <c r="AY101" i="15" s="1"/>
  <c r="Y93" i="15"/>
  <c r="AV93" i="15" s="1"/>
  <c r="AG85" i="15"/>
  <c r="BB85" i="15" s="1"/>
  <c r="AD85" i="15"/>
  <c r="AY85" i="15" s="1"/>
  <c r="V69" i="15"/>
  <c r="AW69" i="15" s="1"/>
  <c r="Q73" i="15"/>
  <c r="AM73" i="15" s="1"/>
  <c r="X74" i="15"/>
  <c r="AY74" i="15" s="1"/>
  <c r="U71" i="15"/>
  <c r="AV71" i="15" s="1"/>
  <c r="S70" i="15"/>
  <c r="AT70" i="15" s="1"/>
  <c r="S69" i="15"/>
  <c r="AT69" i="15" s="1"/>
  <c r="Q70" i="15"/>
  <c r="AM70" i="15" s="1"/>
  <c r="U74" i="15"/>
  <c r="AV74" i="15" s="1"/>
  <c r="W73" i="15"/>
  <c r="AX73" i="15" s="1"/>
  <c r="T74" i="15"/>
  <c r="AU74" i="15" s="1"/>
  <c r="V74" i="15"/>
  <c r="AW74" i="15" s="1"/>
  <c r="U75" i="15"/>
  <c r="AV75" i="15" s="1"/>
  <c r="R71" i="15"/>
  <c r="AS71" i="15" s="1"/>
  <c r="Q71" i="15"/>
  <c r="AM71" i="15" s="1"/>
  <c r="Q69" i="15"/>
  <c r="AM69" i="15" s="1"/>
  <c r="U72" i="15"/>
  <c r="AV72" i="15" s="1"/>
  <c r="T70" i="15"/>
  <c r="AU70" i="15" s="1"/>
  <c r="S72" i="15"/>
  <c r="AT72" i="15" s="1"/>
  <c r="S75" i="15"/>
  <c r="AT75" i="15" s="1"/>
  <c r="W75" i="15"/>
  <c r="AX75" i="15" s="1"/>
  <c r="V71" i="15"/>
  <c r="AW71" i="15" s="1"/>
  <c r="Q72" i="15"/>
  <c r="AM72" i="15" s="1"/>
  <c r="R75" i="15"/>
  <c r="AS75" i="15" s="1"/>
  <c r="X69" i="15"/>
  <c r="AY69" i="15" s="1"/>
  <c r="X75" i="15"/>
  <c r="AY75" i="15" s="1"/>
  <c r="R70" i="15"/>
  <c r="AS70" i="15" s="1"/>
  <c r="T75" i="15"/>
  <c r="AU75" i="15" s="1"/>
  <c r="AQ72" i="15"/>
  <c r="X71" i="15"/>
  <c r="AY71" i="15" s="1"/>
  <c r="T73" i="15"/>
  <c r="AU73" i="15" s="1"/>
  <c r="V70" i="15"/>
  <c r="AW70" i="15" s="1"/>
  <c r="X70" i="15"/>
  <c r="AY70" i="15" s="1"/>
  <c r="Q75" i="15"/>
  <c r="AM75" i="15" s="1"/>
  <c r="T71" i="15"/>
  <c r="AU71" i="15" s="1"/>
  <c r="R72" i="15"/>
  <c r="AS72" i="15" s="1"/>
  <c r="Q74" i="15"/>
  <c r="AM74" i="15" s="1"/>
  <c r="W72" i="15"/>
  <c r="AX72" i="15" s="1"/>
  <c r="R73" i="15"/>
  <c r="AS73" i="15" s="1"/>
  <c r="R69" i="15"/>
  <c r="AS69" i="15" s="1"/>
  <c r="V72" i="15"/>
  <c r="AW72" i="15" s="1"/>
  <c r="S73" i="15"/>
  <c r="AT73" i="15" s="1"/>
  <c r="W74" i="15"/>
  <c r="AX74" i="15" s="1"/>
  <c r="X72" i="15"/>
  <c r="AY72" i="15" s="1"/>
  <c r="T69" i="15"/>
  <c r="AU69" i="15" s="1"/>
  <c r="R74" i="15"/>
  <c r="AS74" i="15" s="1"/>
  <c r="U70" i="15"/>
  <c r="AV70" i="15" s="1"/>
  <c r="S74" i="15"/>
  <c r="AT74" i="15" s="1"/>
  <c r="T72" i="15"/>
  <c r="AU72" i="15" s="1"/>
  <c r="S71" i="15"/>
  <c r="AT71" i="15" s="1"/>
  <c r="W70" i="15"/>
  <c r="AX70" i="15" s="1"/>
  <c r="W69" i="15"/>
  <c r="AX69" i="15" s="1"/>
  <c r="X73" i="15"/>
  <c r="AY73" i="15" s="1"/>
  <c r="U69" i="15"/>
  <c r="AV69" i="15" s="1"/>
  <c r="U73" i="15"/>
  <c r="AV73" i="15" s="1"/>
  <c r="V75" i="15"/>
  <c r="AW75" i="15" s="1"/>
  <c r="W71" i="15"/>
  <c r="AX71" i="15" s="1"/>
  <c r="V73" i="15"/>
  <c r="AW73" i="15" s="1"/>
  <c r="Q148" i="15"/>
  <c r="U148" i="15" s="1"/>
  <c r="T151" i="15"/>
  <c r="X151" i="15" s="1"/>
  <c r="R148" i="15"/>
  <c r="V148" i="15" s="1"/>
  <c r="Q153" i="15"/>
  <c r="U153" i="15" s="1"/>
  <c r="R153" i="15"/>
  <c r="V153" i="15" s="1"/>
  <c r="T148" i="15"/>
  <c r="X148" i="15" s="1"/>
  <c r="R152" i="15"/>
  <c r="V152" i="15" s="1"/>
  <c r="R150" i="15"/>
  <c r="V150" i="15" s="1"/>
  <c r="T153" i="15"/>
  <c r="X153" i="15" s="1"/>
  <c r="Q152" i="15"/>
  <c r="U152" i="15" s="1"/>
  <c r="T155" i="15"/>
  <c r="X155" i="15" s="1"/>
  <c r="T152" i="15"/>
  <c r="X152" i="15" s="1"/>
  <c r="Q151" i="15"/>
  <c r="U151" i="15" s="1"/>
  <c r="Q149" i="15"/>
  <c r="U149" i="15" s="1"/>
  <c r="Q150" i="15"/>
  <c r="U150" i="15" s="1"/>
  <c r="Q154" i="15"/>
  <c r="U154" i="15" s="1"/>
  <c r="R149" i="15"/>
  <c r="V149" i="15" s="1"/>
  <c r="R155" i="15"/>
  <c r="V155" i="15" s="1"/>
  <c r="Q156" i="15"/>
  <c r="U156" i="15" s="1"/>
  <c r="R154" i="15"/>
  <c r="V154" i="15" s="1"/>
  <c r="T149" i="15"/>
  <c r="X149" i="15" s="1"/>
  <c r="T154" i="15"/>
  <c r="X154" i="15" s="1"/>
  <c r="R156" i="15"/>
  <c r="V156" i="15" s="1"/>
  <c r="R151" i="15"/>
  <c r="V151" i="15" s="1"/>
  <c r="T150" i="15"/>
  <c r="X150" i="15" s="1"/>
  <c r="T156" i="15"/>
  <c r="X156" i="15" s="1"/>
  <c r="Q155" i="15"/>
  <c r="U155" i="15" s="1"/>
  <c r="S28" i="16"/>
  <c r="W28" i="16" s="1"/>
  <c r="M28" i="16" s="1"/>
  <c r="S29" i="16"/>
  <c r="W29" i="16" s="1"/>
  <c r="M29" i="16" s="1"/>
  <c r="P32" i="16"/>
  <c r="T32" i="16" s="1"/>
  <c r="P34" i="16"/>
  <c r="T34" i="16" s="1"/>
  <c r="Q31" i="16"/>
  <c r="U31" i="16" s="1"/>
  <c r="S32" i="16"/>
  <c r="W32" i="16" s="1"/>
  <c r="Q34" i="16"/>
  <c r="U34" i="16" s="1"/>
  <c r="S30" i="16"/>
  <c r="W30" i="16" s="1"/>
  <c r="M30" i="16" s="1"/>
  <c r="S31" i="16"/>
  <c r="W31" i="16" s="1"/>
  <c r="M31" i="16" s="1"/>
  <c r="Q33" i="16"/>
  <c r="U33" i="16" s="1"/>
  <c r="S34" i="16"/>
  <c r="W34" i="16" s="1"/>
  <c r="P35" i="16"/>
  <c r="T35" i="16" s="1"/>
  <c r="Q36" i="16"/>
  <c r="U36" i="16" s="1"/>
  <c r="P38" i="16"/>
  <c r="T38" i="16" s="1"/>
  <c r="P39" i="16"/>
  <c r="T39" i="16" s="1"/>
  <c r="Q29" i="16"/>
  <c r="U29" i="16" s="1"/>
  <c r="S35" i="16"/>
  <c r="W35" i="16" s="1"/>
  <c r="P40" i="16"/>
  <c r="T40" i="16" s="1"/>
  <c r="S38" i="16"/>
  <c r="W38" i="16" s="1"/>
  <c r="Q40" i="16"/>
  <c r="U40" i="16" s="1"/>
  <c r="Q37" i="16"/>
  <c r="U37" i="16" s="1"/>
  <c r="Q27" i="16"/>
  <c r="U27" i="16" s="1"/>
  <c r="P29" i="16"/>
  <c r="T29" i="16" s="1"/>
  <c r="P36" i="16"/>
  <c r="T36" i="16" s="1"/>
  <c r="Q25" i="16"/>
  <c r="U25" i="16" s="1"/>
  <c r="S27" i="16"/>
  <c r="W27" i="16" s="1"/>
  <c r="M27" i="16" s="1"/>
  <c r="S37" i="16"/>
  <c r="W37" i="16" s="1"/>
  <c r="Q30" i="16"/>
  <c r="U30" i="16" s="1"/>
  <c r="S25" i="16"/>
  <c r="W25" i="16" s="1"/>
  <c r="M25" i="16" s="1"/>
  <c r="Q39" i="16"/>
  <c r="U39" i="16" s="1"/>
  <c r="Q32" i="16"/>
  <c r="U32" i="16" s="1"/>
  <c r="P41" i="16"/>
  <c r="T41" i="16" s="1"/>
  <c r="P31" i="16"/>
  <c r="T31" i="16" s="1"/>
  <c r="Q28" i="16"/>
  <c r="U28" i="16" s="1"/>
  <c r="S26" i="16"/>
  <c r="W26" i="16" s="1"/>
  <c r="M26" i="16" s="1"/>
  <c r="Q41" i="16"/>
  <c r="U41" i="16" s="1"/>
  <c r="P37" i="16"/>
  <c r="T37" i="16" s="1"/>
  <c r="Q26" i="16"/>
  <c r="U26" i="16" s="1"/>
  <c r="Q38" i="16"/>
  <c r="U38" i="16" s="1"/>
  <c r="S36" i="16"/>
  <c r="W36" i="16" s="1"/>
  <c r="P30" i="16"/>
  <c r="T30" i="16" s="1"/>
  <c r="L30" i="16" s="1"/>
  <c r="P27" i="16"/>
  <c r="T27" i="16" s="1"/>
  <c r="P33" i="16"/>
  <c r="T33" i="16" s="1"/>
  <c r="S33" i="16"/>
  <c r="W33" i="16" s="1"/>
  <c r="P25" i="16"/>
  <c r="T25" i="16" s="1"/>
  <c r="S39" i="16"/>
  <c r="W39" i="16" s="1"/>
  <c r="P28" i="16"/>
  <c r="T28" i="16" s="1"/>
  <c r="P26" i="16"/>
  <c r="T26" i="16" s="1"/>
  <c r="L26" i="16" s="1"/>
  <c r="S40" i="16"/>
  <c r="W40" i="16" s="1"/>
  <c r="Q35" i="16"/>
  <c r="U35" i="16" s="1"/>
  <c r="S41" i="16"/>
  <c r="W41" i="16" s="1"/>
  <c r="P60" i="16"/>
  <c r="S60" i="16" s="1"/>
  <c r="Q62" i="16"/>
  <c r="T62" i="16" s="1"/>
  <c r="Q60" i="16"/>
  <c r="T60" i="16" s="1"/>
  <c r="Q53" i="16"/>
  <c r="T53" i="16" s="1"/>
  <c r="O55" i="16"/>
  <c r="R55" i="16" s="1"/>
  <c r="P68" i="16"/>
  <c r="S68" i="16" s="1"/>
  <c r="P55" i="16"/>
  <c r="S55" i="16" s="1"/>
  <c r="Q68" i="16"/>
  <c r="T68" i="16" s="1"/>
  <c r="O67" i="16"/>
  <c r="R67" i="16" s="1"/>
  <c r="P63" i="16"/>
  <c r="S63" i="16" s="1"/>
  <c r="O58" i="16"/>
  <c r="R58" i="16" s="1"/>
  <c r="O57" i="16"/>
  <c r="R57" i="16" s="1"/>
  <c r="O64" i="16"/>
  <c r="R64" i="16" s="1"/>
  <c r="Q66" i="16"/>
  <c r="T66" i="16" s="1"/>
  <c r="P58" i="16"/>
  <c r="S58" i="16" s="1"/>
  <c r="P62" i="16"/>
  <c r="S62" i="16" s="1"/>
  <c r="O59" i="16"/>
  <c r="R59" i="16" s="1"/>
  <c r="O51" i="16"/>
  <c r="R51" i="16" s="1"/>
  <c r="O61" i="16"/>
  <c r="R61" i="16" s="1"/>
  <c r="P65" i="16"/>
  <c r="S65" i="16" s="1"/>
  <c r="Q51" i="16"/>
  <c r="T51" i="16" s="1"/>
  <c r="Q52" i="16"/>
  <c r="T52" i="16" s="1"/>
  <c r="P54" i="16"/>
  <c r="S54" i="16" s="1"/>
  <c r="O50" i="16"/>
  <c r="R50" i="16" s="1"/>
  <c r="O56" i="16"/>
  <c r="R56" i="16" s="1"/>
  <c r="Q58" i="16"/>
  <c r="T58" i="16" s="1"/>
  <c r="P50" i="16"/>
  <c r="S50" i="16" s="1"/>
  <c r="Q64" i="16"/>
  <c r="T64" i="16" s="1"/>
  <c r="O66" i="16"/>
  <c r="R66" i="16" s="1"/>
  <c r="O53" i="16"/>
  <c r="R53" i="16" s="1"/>
  <c r="P57" i="16"/>
  <c r="S57" i="16" s="1"/>
  <c r="P67" i="16"/>
  <c r="S67" i="16" s="1"/>
  <c r="Q56" i="16"/>
  <c r="T56" i="16" s="1"/>
  <c r="O68" i="16"/>
  <c r="R68" i="16" s="1"/>
  <c r="O62" i="16"/>
  <c r="R62" i="16" s="1"/>
  <c r="Q63" i="16"/>
  <c r="T63" i="16" s="1"/>
  <c r="Q65" i="16"/>
  <c r="T65" i="16" s="1"/>
  <c r="Q50" i="16"/>
  <c r="T50" i="16" s="1"/>
  <c r="P59" i="16"/>
  <c r="S59" i="16" s="1"/>
  <c r="O52" i="16"/>
  <c r="R52" i="16" s="1"/>
  <c r="O63" i="16"/>
  <c r="R63" i="16" s="1"/>
  <c r="Q61" i="16"/>
  <c r="T61" i="16" s="1"/>
  <c r="P64" i="16"/>
  <c r="S64" i="16" s="1"/>
  <c r="P61" i="16"/>
  <c r="S61" i="16" s="1"/>
  <c r="Q55" i="16"/>
  <c r="T55" i="16" s="1"/>
  <c r="Q57" i="16"/>
  <c r="T57" i="16" s="1"/>
  <c r="P51" i="16"/>
  <c r="S51" i="16" s="1"/>
  <c r="P53" i="16"/>
  <c r="S53" i="16" s="1"/>
  <c r="Q54" i="16"/>
  <c r="T54" i="16" s="1"/>
  <c r="O65" i="16"/>
  <c r="R65" i="16" s="1"/>
  <c r="P56" i="16"/>
  <c r="S56" i="16" s="1"/>
  <c r="O60" i="16"/>
  <c r="R60" i="16" s="1"/>
  <c r="O54" i="16"/>
  <c r="R54" i="16" s="1"/>
  <c r="P52" i="16"/>
  <c r="S52" i="16" s="1"/>
  <c r="Q67" i="16"/>
  <c r="T67" i="16" s="1"/>
  <c r="P66" i="16"/>
  <c r="S66" i="16" s="1"/>
  <c r="Q59" i="16"/>
  <c r="T59" i="16" s="1"/>
  <c r="X120" i="15"/>
  <c r="AW120" i="15" s="1"/>
  <c r="W126" i="15"/>
  <c r="AV126" i="15" s="1"/>
  <c r="Q117" i="15"/>
  <c r="AL117" i="15" s="1"/>
  <c r="Q126" i="15"/>
  <c r="AL126" i="15" s="1"/>
  <c r="U128" i="15"/>
  <c r="AT128" i="15" s="1"/>
  <c r="R117" i="15"/>
  <c r="AQ117" i="15" s="1"/>
  <c r="Q120" i="15"/>
  <c r="AL120" i="15" s="1"/>
  <c r="S122" i="15"/>
  <c r="AR122" i="15" s="1"/>
  <c r="R126" i="15"/>
  <c r="AQ126" i="15" s="1"/>
  <c r="W128" i="15"/>
  <c r="AV128" i="15" s="1"/>
  <c r="S117" i="15"/>
  <c r="AR117" i="15" s="1"/>
  <c r="R120" i="15"/>
  <c r="AQ120" i="15" s="1"/>
  <c r="W122" i="15"/>
  <c r="AV122" i="15" s="1"/>
  <c r="S126" i="15"/>
  <c r="AR126" i="15" s="1"/>
  <c r="U115" i="15"/>
  <c r="AT115" i="15" s="1"/>
  <c r="T117" i="15"/>
  <c r="AS117" i="15" s="1"/>
  <c r="W123" i="15"/>
  <c r="AV123" i="15" s="1"/>
  <c r="V115" i="15"/>
  <c r="AU115" i="15" s="1"/>
  <c r="U117" i="15"/>
  <c r="AT117" i="15" s="1"/>
  <c r="S120" i="15"/>
  <c r="AR120" i="15" s="1"/>
  <c r="X119" i="15"/>
  <c r="AW119" i="15" s="1"/>
  <c r="Q124" i="15"/>
  <c r="AL124" i="15" s="1"/>
  <c r="U126" i="15"/>
  <c r="AT126" i="15" s="1"/>
  <c r="W115" i="15"/>
  <c r="AV115" i="15" s="1"/>
  <c r="U124" i="15"/>
  <c r="AT124" i="15" s="1"/>
  <c r="V126" i="15"/>
  <c r="AU126" i="15" s="1"/>
  <c r="W124" i="15"/>
  <c r="AV124" i="15" s="1"/>
  <c r="U120" i="15"/>
  <c r="AT120" i="15" s="1"/>
  <c r="W120" i="15"/>
  <c r="AV120" i="15" s="1"/>
  <c r="W117" i="15"/>
  <c r="AV117" i="15" s="1"/>
  <c r="T126" i="15"/>
  <c r="AS126" i="15" s="1"/>
  <c r="W116" i="15"/>
  <c r="AV116" i="15" s="1"/>
  <c r="T118" i="15"/>
  <c r="AS118" i="15" s="1"/>
  <c r="T125" i="15"/>
  <c r="AS125" i="15" s="1"/>
  <c r="T128" i="15"/>
  <c r="AS128" i="15" s="1"/>
  <c r="S128" i="15"/>
  <c r="AR128" i="15" s="1"/>
  <c r="U121" i="15"/>
  <c r="AT121" i="15" s="1"/>
  <c r="Q128" i="15"/>
  <c r="AL128" i="15" s="1"/>
  <c r="X124" i="15"/>
  <c r="AW124" i="15" s="1"/>
  <c r="T123" i="15"/>
  <c r="AS123" i="15" s="1"/>
  <c r="R122" i="15"/>
  <c r="AQ122" i="15" s="1"/>
  <c r="R115" i="15"/>
  <c r="AQ115" i="15" s="1"/>
  <c r="Q115" i="15"/>
  <c r="AL115" i="15" s="1"/>
  <c r="X114" i="15"/>
  <c r="AW114" i="15" s="1"/>
  <c r="BM114" i="15" s="1"/>
  <c r="V114" i="15"/>
  <c r="AU114" i="15" s="1"/>
  <c r="BK114" i="15" s="1"/>
  <c r="T113" i="15"/>
  <c r="AS113" i="15" s="1"/>
  <c r="BI113" i="15" s="1"/>
  <c r="S121" i="15"/>
  <c r="AR121" i="15" s="1"/>
  <c r="T127" i="15"/>
  <c r="AS127" i="15" s="1"/>
  <c r="Q122" i="15"/>
  <c r="AL122" i="15" s="1"/>
  <c r="V117" i="15"/>
  <c r="AU117" i="15" s="1"/>
  <c r="V116" i="15"/>
  <c r="AU116" i="15" s="1"/>
  <c r="X116" i="15"/>
  <c r="AW116" i="15" s="1"/>
  <c r="R129" i="15"/>
  <c r="AQ129" i="15" s="1"/>
  <c r="U129" i="15"/>
  <c r="AT129" i="15" s="1"/>
  <c r="V122" i="15"/>
  <c r="AU122" i="15" s="1"/>
  <c r="U122" i="15"/>
  <c r="AT122" i="15" s="1"/>
  <c r="V119" i="15"/>
  <c r="AU119" i="15" s="1"/>
  <c r="R114" i="15"/>
  <c r="AQ114" i="15" s="1"/>
  <c r="BG114" i="15" s="1"/>
  <c r="X126" i="15"/>
  <c r="AW126" i="15" s="1"/>
  <c r="W114" i="15"/>
  <c r="AV114" i="15" s="1"/>
  <c r="BL114" i="15" s="1"/>
  <c r="S127" i="15"/>
  <c r="AR127" i="15" s="1"/>
  <c r="R118" i="15"/>
  <c r="AQ118" i="15" s="1"/>
  <c r="U118" i="15"/>
  <c r="AT118" i="15" s="1"/>
  <c r="R125" i="15"/>
  <c r="AQ125" i="15" s="1"/>
  <c r="U125" i="15"/>
  <c r="AT125" i="15" s="1"/>
  <c r="V121" i="15"/>
  <c r="AU121" i="15" s="1"/>
  <c r="R124" i="15"/>
  <c r="AQ124" i="15" s="1"/>
  <c r="U119" i="15"/>
  <c r="AT119" i="15" s="1"/>
  <c r="W127" i="15"/>
  <c r="AV127" i="15" s="1"/>
  <c r="R119" i="15"/>
  <c r="AQ119" i="15" s="1"/>
  <c r="Q114" i="15"/>
  <c r="AL114" i="15" s="1"/>
  <c r="S114" i="15"/>
  <c r="AR114" i="15" s="1"/>
  <c r="BH114" i="15" s="1"/>
  <c r="U113" i="15"/>
  <c r="AT113" i="15" s="1"/>
  <c r="BJ113" i="15" s="1"/>
  <c r="W125" i="15"/>
  <c r="AV125" i="15" s="1"/>
  <c r="T121" i="15"/>
  <c r="AS121" i="15" s="1"/>
  <c r="V124" i="15"/>
  <c r="AU124" i="15" s="1"/>
  <c r="S116" i="15"/>
  <c r="AR116" i="15" s="1"/>
  <c r="V129" i="15"/>
  <c r="AU129" i="15" s="1"/>
  <c r="R127" i="15"/>
  <c r="AQ127" i="15" s="1"/>
  <c r="Q127" i="15"/>
  <c r="AL127" i="15" s="1"/>
  <c r="W121" i="15"/>
  <c r="AV121" i="15" s="1"/>
  <c r="X113" i="15"/>
  <c r="AW113" i="15" s="1"/>
  <c r="BM113" i="15" s="1"/>
  <c r="V113" i="15"/>
  <c r="AU113" i="15" s="1"/>
  <c r="BK113" i="15" s="1"/>
  <c r="X115" i="15"/>
  <c r="AW115" i="15" s="1"/>
  <c r="Q116" i="15"/>
  <c r="AL116" i="15" s="1"/>
  <c r="V118" i="15"/>
  <c r="AU118" i="15" s="1"/>
  <c r="V125" i="15"/>
  <c r="AU125" i="15" s="1"/>
  <c r="X121" i="15"/>
  <c r="AW121" i="15" s="1"/>
  <c r="T120" i="15"/>
  <c r="AS120" i="15" s="1"/>
  <c r="S123" i="15"/>
  <c r="AR123" i="15" s="1"/>
  <c r="X128" i="15"/>
  <c r="AW128" i="15" s="1"/>
  <c r="U127" i="15"/>
  <c r="AT127" i="15" s="1"/>
  <c r="AP116" i="15"/>
  <c r="X117" i="15"/>
  <c r="AW117" i="15" s="1"/>
  <c r="U114" i="15"/>
  <c r="AT114" i="15" s="1"/>
  <c r="BJ114" i="15" s="1"/>
  <c r="Q121" i="15"/>
  <c r="AL121" i="15" s="1"/>
  <c r="T116" i="15"/>
  <c r="AS116" i="15" s="1"/>
  <c r="Q118" i="15"/>
  <c r="AL118" i="15" s="1"/>
  <c r="T119" i="15"/>
  <c r="AS119" i="15" s="1"/>
  <c r="Q123" i="15"/>
  <c r="AL123" i="15" s="1"/>
  <c r="R113" i="15"/>
  <c r="AQ113" i="15" s="1"/>
  <c r="BG113" i="15" s="1"/>
  <c r="T129" i="15"/>
  <c r="AS129" i="15" s="1"/>
  <c r="S124" i="15"/>
  <c r="AR124" i="15" s="1"/>
  <c r="X127" i="15"/>
  <c r="AW127" i="15" s="1"/>
  <c r="V127" i="15"/>
  <c r="AU127" i="15" s="1"/>
  <c r="X123" i="15"/>
  <c r="AW123" i="15" s="1"/>
  <c r="R128" i="15"/>
  <c r="AQ128" i="15" s="1"/>
  <c r="Q129" i="15"/>
  <c r="AL129" i="15" s="1"/>
  <c r="R121" i="15"/>
  <c r="AQ121" i="15" s="1"/>
  <c r="U116" i="15"/>
  <c r="AT116" i="15" s="1"/>
  <c r="S118" i="15"/>
  <c r="AR118" i="15" s="1"/>
  <c r="X125" i="15"/>
  <c r="AW125" i="15" s="1"/>
  <c r="X122" i="15"/>
  <c r="AW122" i="15" s="1"/>
  <c r="S125" i="15"/>
  <c r="AR125" i="15" s="1"/>
  <c r="V123" i="15"/>
  <c r="AU123" i="15" s="1"/>
  <c r="X118" i="15"/>
  <c r="AW118" i="15" s="1"/>
  <c r="Q119" i="15"/>
  <c r="AL119" i="15" s="1"/>
  <c r="S129" i="15"/>
  <c r="AR129" i="15" s="1"/>
  <c r="Q113" i="15"/>
  <c r="AL113" i="15" s="1"/>
  <c r="W129" i="15"/>
  <c r="AV129" i="15" s="1"/>
  <c r="S113" i="15"/>
  <c r="AR113" i="15" s="1"/>
  <c r="BH113" i="15" s="1"/>
  <c r="T124" i="15"/>
  <c r="AS124" i="15" s="1"/>
  <c r="U123" i="15"/>
  <c r="AT123" i="15" s="1"/>
  <c r="T122" i="15"/>
  <c r="AS122" i="15" s="1"/>
  <c r="R123" i="15"/>
  <c r="AQ123" i="15" s="1"/>
  <c r="T115" i="15"/>
  <c r="AS115" i="15" s="1"/>
  <c r="AP118" i="15"/>
  <c r="T114" i="15"/>
  <c r="AS114" i="15" s="1"/>
  <c r="BI114" i="15" s="1"/>
  <c r="W119" i="15"/>
  <c r="AV119" i="15" s="1"/>
  <c r="S115" i="15"/>
  <c r="AR115" i="15" s="1"/>
  <c r="W113" i="15"/>
  <c r="AV113" i="15" s="1"/>
  <c r="BL113" i="15" s="1"/>
  <c r="V128" i="15"/>
  <c r="AU128" i="15" s="1"/>
  <c r="R116" i="15"/>
  <c r="AQ116" i="15" s="1"/>
  <c r="W118" i="15"/>
  <c r="AV118" i="15" s="1"/>
  <c r="Q125" i="15"/>
  <c r="AL125" i="15" s="1"/>
  <c r="V120" i="15"/>
  <c r="AU120" i="15" s="1"/>
  <c r="X129" i="15"/>
  <c r="AW129" i="15" s="1"/>
  <c r="S119" i="15"/>
  <c r="AR119" i="15" s="1"/>
  <c r="U85" i="15"/>
  <c r="AR85" i="15" s="1"/>
  <c r="Q86" i="15"/>
  <c r="AK86" i="15" s="1"/>
  <c r="U87" i="15"/>
  <c r="AR87" i="15" s="1"/>
  <c r="S88" i="15"/>
  <c r="AP88" i="15" s="1"/>
  <c r="X85" i="15"/>
  <c r="AU85" i="15" s="1"/>
  <c r="R86" i="15"/>
  <c r="AO86" i="15" s="1"/>
  <c r="V87" i="15"/>
  <c r="AS87" i="15" s="1"/>
  <c r="T88" i="15"/>
  <c r="AQ88" i="15" s="1"/>
  <c r="U86" i="15"/>
  <c r="AR86" i="15" s="1"/>
  <c r="W87" i="15"/>
  <c r="AT87" i="15" s="1"/>
  <c r="U88" i="15"/>
  <c r="AR88" i="15" s="1"/>
  <c r="X86" i="15"/>
  <c r="AU86" i="15" s="1"/>
  <c r="X87" i="15"/>
  <c r="AU87" i="15" s="1"/>
  <c r="X91" i="15"/>
  <c r="AU91" i="15" s="1"/>
  <c r="W101" i="15"/>
  <c r="AT101" i="15" s="1"/>
  <c r="W97" i="15"/>
  <c r="AT97" i="15" s="1"/>
  <c r="T98" i="15"/>
  <c r="AQ98" i="15" s="1"/>
  <c r="S99" i="15"/>
  <c r="AP99" i="15" s="1"/>
  <c r="X101" i="15"/>
  <c r="AU101" i="15" s="1"/>
  <c r="Q102" i="15"/>
  <c r="AK102" i="15" s="1"/>
  <c r="X97" i="15"/>
  <c r="AU97" i="15" s="1"/>
  <c r="U98" i="15"/>
  <c r="AR98" i="15" s="1"/>
  <c r="T99" i="15"/>
  <c r="AQ99" i="15" s="1"/>
  <c r="S102" i="15"/>
  <c r="AP102" i="15" s="1"/>
  <c r="T93" i="15"/>
  <c r="AQ93" i="15" s="1"/>
  <c r="R95" i="15"/>
  <c r="AO95" i="15" s="1"/>
  <c r="V98" i="15"/>
  <c r="AS98" i="15" s="1"/>
  <c r="V99" i="15"/>
  <c r="AS99" i="15" s="1"/>
  <c r="T102" i="15"/>
  <c r="AQ102" i="15" s="1"/>
  <c r="W99" i="15"/>
  <c r="AT99" i="15" s="1"/>
  <c r="W88" i="15"/>
  <c r="AT88" i="15" s="1"/>
  <c r="X90" i="15"/>
  <c r="AU90" i="15" s="1"/>
  <c r="R91" i="15"/>
  <c r="AO91" i="15" s="1"/>
  <c r="W95" i="15"/>
  <c r="AT95" i="15" s="1"/>
  <c r="X99" i="15"/>
  <c r="AU99" i="15" s="1"/>
  <c r="S96" i="15"/>
  <c r="AP96" i="15" s="1"/>
  <c r="T96" i="15"/>
  <c r="AQ96" i="15" s="1"/>
  <c r="Q94" i="15"/>
  <c r="AK94" i="15" s="1"/>
  <c r="X88" i="15"/>
  <c r="AU88" i="15" s="1"/>
  <c r="U101" i="15"/>
  <c r="AR101" i="15" s="1"/>
  <c r="X95" i="15"/>
  <c r="AU95" i="15" s="1"/>
  <c r="S91" i="15"/>
  <c r="AP91" i="15" s="1"/>
  <c r="T101" i="15"/>
  <c r="AQ101" i="15" s="1"/>
  <c r="W91" i="15"/>
  <c r="AT91" i="15" s="1"/>
  <c r="U90" i="15"/>
  <c r="AR90" i="15" s="1"/>
  <c r="U95" i="15"/>
  <c r="AR95" i="15" s="1"/>
  <c r="U99" i="15"/>
  <c r="AR99" i="15" s="1"/>
  <c r="R97" i="15"/>
  <c r="AO97" i="15" s="1"/>
  <c r="T89" i="15"/>
  <c r="AQ89" i="15" s="1"/>
  <c r="V97" i="15"/>
  <c r="AS97" i="15" s="1"/>
  <c r="W94" i="15"/>
  <c r="AT94" i="15" s="1"/>
  <c r="Q92" i="15"/>
  <c r="AK92" i="15" s="1"/>
  <c r="U92" i="15"/>
  <c r="AR92" i="15" s="1"/>
  <c r="W98" i="15"/>
  <c r="AT98" i="15" s="1"/>
  <c r="T87" i="15"/>
  <c r="AQ87" i="15" s="1"/>
  <c r="Q101" i="15"/>
  <c r="AK101" i="15" s="1"/>
  <c r="R94" i="15"/>
  <c r="AO94" i="15" s="1"/>
  <c r="Q100" i="15"/>
  <c r="AK100" i="15" s="1"/>
  <c r="X96" i="15"/>
  <c r="AU96" i="15" s="1"/>
  <c r="W102" i="15"/>
  <c r="AT102" i="15" s="1"/>
  <c r="Q97" i="15"/>
  <c r="AK97" i="15" s="1"/>
  <c r="R88" i="15"/>
  <c r="AO88" i="15" s="1"/>
  <c r="T91" i="15"/>
  <c r="AQ91" i="15" s="1"/>
  <c r="V100" i="15"/>
  <c r="AS100" i="15" s="1"/>
  <c r="S100" i="15"/>
  <c r="AP100" i="15" s="1"/>
  <c r="R93" i="15"/>
  <c r="AO93" i="15" s="1"/>
  <c r="W92" i="15"/>
  <c r="AT92" i="15" s="1"/>
  <c r="S87" i="15"/>
  <c r="AP87" i="15" s="1"/>
  <c r="U102" i="15"/>
  <c r="AR102" i="15" s="1"/>
  <c r="Q96" i="15"/>
  <c r="AK96" i="15" s="1"/>
  <c r="V90" i="15"/>
  <c r="AS90" i="15" s="1"/>
  <c r="R102" i="15"/>
  <c r="AO102" i="15" s="1"/>
  <c r="Q99" i="15"/>
  <c r="AK99" i="15" s="1"/>
  <c r="U96" i="15"/>
  <c r="AR96" i="15" s="1"/>
  <c r="U91" i="15"/>
  <c r="AR91" i="15" s="1"/>
  <c r="X92" i="15"/>
  <c r="AU92" i="15" s="1"/>
  <c r="U89" i="15"/>
  <c r="AR89" i="15" s="1"/>
  <c r="S94" i="15"/>
  <c r="AP94" i="15" s="1"/>
  <c r="V93" i="15"/>
  <c r="AS93" i="15" s="1"/>
  <c r="V92" i="15"/>
  <c r="AS92" i="15" s="1"/>
  <c r="X89" i="15"/>
  <c r="AU89" i="15" s="1"/>
  <c r="T95" i="15"/>
  <c r="AQ95" i="15" s="1"/>
  <c r="W86" i="15"/>
  <c r="AT86" i="15" s="1"/>
  <c r="V95" i="15"/>
  <c r="AS95" i="15" s="1"/>
  <c r="W90" i="15"/>
  <c r="AT90" i="15" s="1"/>
  <c r="R96" i="15"/>
  <c r="AO96" i="15" s="1"/>
  <c r="X94" i="15"/>
  <c r="AU94" i="15" s="1"/>
  <c r="S90" i="15"/>
  <c r="AP90" i="15" s="1"/>
  <c r="T85" i="15"/>
  <c r="AQ85" i="15" s="1"/>
  <c r="V88" i="15"/>
  <c r="AS88" i="15" s="1"/>
  <c r="S98" i="15"/>
  <c r="AP98" i="15" s="1"/>
  <c r="R89" i="15"/>
  <c r="AO89" i="15" s="1"/>
  <c r="X98" i="15"/>
  <c r="AU98" i="15" s="1"/>
  <c r="R92" i="15"/>
  <c r="AO92" i="15" s="1"/>
  <c r="V86" i="15"/>
  <c r="AS86" i="15" s="1"/>
  <c r="Q90" i="15"/>
  <c r="AK90" i="15" s="1"/>
  <c r="T90" i="15"/>
  <c r="AQ90" i="15" s="1"/>
  <c r="U93" i="15"/>
  <c r="AR93" i="15" s="1"/>
  <c r="V102" i="15"/>
  <c r="AS102" i="15" s="1"/>
  <c r="V91" i="15"/>
  <c r="AS91" i="15" s="1"/>
  <c r="Q87" i="15"/>
  <c r="AK87" i="15" s="1"/>
  <c r="W100" i="15"/>
  <c r="AT100" i="15" s="1"/>
  <c r="V89" i="15"/>
  <c r="AS89" i="15" s="1"/>
  <c r="S97" i="15"/>
  <c r="AP97" i="15" s="1"/>
  <c r="T94" i="15"/>
  <c r="AQ94" i="15" s="1"/>
  <c r="W93" i="15"/>
  <c r="AT93" i="15" s="1"/>
  <c r="S93" i="15"/>
  <c r="AP93" i="15" s="1"/>
  <c r="S101" i="15"/>
  <c r="AP101" i="15" s="1"/>
  <c r="T100" i="15"/>
  <c r="AQ100" i="15" s="1"/>
  <c r="R100" i="15"/>
  <c r="AO100" i="15" s="1"/>
  <c r="S95" i="15"/>
  <c r="AP95" i="15" s="1"/>
  <c r="V96" i="15"/>
  <c r="AS96" i="15" s="1"/>
  <c r="R99" i="15"/>
  <c r="AO99" i="15" s="1"/>
  <c r="W96" i="15"/>
  <c r="AT96" i="15" s="1"/>
  <c r="T97" i="15"/>
  <c r="AQ97" i="15" s="1"/>
  <c r="R98" i="15"/>
  <c r="AO98" i="15" s="1"/>
  <c r="U97" i="15"/>
  <c r="AR97" i="15" s="1"/>
  <c r="Q95" i="15"/>
  <c r="AK95" i="15" s="1"/>
  <c r="V101" i="15"/>
  <c r="AS101" i="15" s="1"/>
  <c r="U94" i="15"/>
  <c r="AR94" i="15" s="1"/>
  <c r="S85" i="15"/>
  <c r="AP85" i="15" s="1"/>
  <c r="Q85" i="15"/>
  <c r="AK85" i="15" s="1"/>
  <c r="W89" i="15"/>
  <c r="AT89" i="15" s="1"/>
  <c r="R85" i="15"/>
  <c r="AO85" i="15" s="1"/>
  <c r="R101" i="15"/>
  <c r="AO101" i="15" s="1"/>
  <c r="Q98" i="15"/>
  <c r="AK98" i="15" s="1"/>
  <c r="V85" i="15"/>
  <c r="AS85" i="15" s="1"/>
  <c r="X93" i="15"/>
  <c r="AU93" i="15" s="1"/>
  <c r="S89" i="15"/>
  <c r="AP89" i="15" s="1"/>
  <c r="X100" i="15"/>
  <c r="AU100" i="15" s="1"/>
  <c r="S92" i="15"/>
  <c r="AP92" i="15" s="1"/>
  <c r="R90" i="15"/>
  <c r="AO90" i="15" s="1"/>
  <c r="X102" i="15"/>
  <c r="AU102" i="15" s="1"/>
  <c r="S86" i="15"/>
  <c r="AP86" i="15" s="1"/>
  <c r="T92" i="15"/>
  <c r="AQ92" i="15" s="1"/>
  <c r="Q93" i="15"/>
  <c r="AK93" i="15" s="1"/>
  <c r="U100" i="15"/>
  <c r="AR100" i="15" s="1"/>
  <c r="V94" i="15"/>
  <c r="AS94" i="15" s="1"/>
  <c r="Q89" i="15"/>
  <c r="AK89" i="15" s="1"/>
  <c r="Q88" i="15"/>
  <c r="AK88" i="15" s="1"/>
  <c r="T86" i="15"/>
  <c r="AQ86" i="15" s="1"/>
  <c r="R87" i="15"/>
  <c r="AO87" i="15" s="1"/>
  <c r="Q91" i="15"/>
  <c r="AK91" i="15" s="1"/>
  <c r="W85" i="15"/>
  <c r="AT85" i="15" s="1"/>
  <c r="R224" i="15"/>
  <c r="V224" i="15" s="1"/>
  <c r="T231" i="15"/>
  <c r="X231" i="15" s="1"/>
  <c r="L231" i="15" s="1"/>
  <c r="S224" i="15"/>
  <c r="W224" i="15" s="1"/>
  <c r="T224" i="15"/>
  <c r="X224" i="15" s="1"/>
  <c r="L224" i="15" s="1"/>
  <c r="T222" i="15"/>
  <c r="X222" i="15" s="1"/>
  <c r="L222" i="15" s="1"/>
  <c r="T232" i="15"/>
  <c r="X232" i="15" s="1"/>
  <c r="Q225" i="15"/>
  <c r="U225" i="15" s="1"/>
  <c r="R225" i="15"/>
  <c r="V225" i="15" s="1"/>
  <c r="S232" i="15"/>
  <c r="W232" i="15" s="1"/>
  <c r="S223" i="15"/>
  <c r="W223" i="15" s="1"/>
  <c r="Q223" i="15"/>
  <c r="U223" i="15" s="1"/>
  <c r="R223" i="15"/>
  <c r="V223" i="15" s="1"/>
  <c r="R222" i="15"/>
  <c r="V222" i="15" s="1"/>
  <c r="T227" i="15"/>
  <c r="X227" i="15" s="1"/>
  <c r="L227" i="15" s="1"/>
  <c r="S227" i="15"/>
  <c r="W227" i="15" s="1"/>
  <c r="T223" i="15"/>
  <c r="X223" i="15" s="1"/>
  <c r="L223" i="15" s="1"/>
  <c r="S222" i="15"/>
  <c r="W222" i="15" s="1"/>
  <c r="S221" i="15"/>
  <c r="W221" i="15" s="1"/>
  <c r="R221" i="15"/>
  <c r="V221" i="15" s="1"/>
  <c r="T226" i="15"/>
  <c r="X226" i="15" s="1"/>
  <c r="L226" i="15" s="1"/>
  <c r="R234" i="15"/>
  <c r="V234" i="15" s="1"/>
  <c r="Q234" i="15"/>
  <c r="U234" i="15" s="1"/>
  <c r="T221" i="15"/>
  <c r="X221" i="15" s="1"/>
  <c r="L221" i="15" s="1"/>
  <c r="T220" i="15"/>
  <c r="X220" i="15" s="1"/>
  <c r="L220" i="15" s="1"/>
  <c r="S220" i="15"/>
  <c r="W220" i="15" s="1"/>
  <c r="R220" i="15"/>
  <c r="V220" i="15" s="1"/>
  <c r="R226" i="15"/>
  <c r="V226" i="15" s="1"/>
  <c r="Q235" i="15"/>
  <c r="U235" i="15" s="1"/>
  <c r="Q236" i="15"/>
  <c r="U236" i="15" s="1"/>
  <c r="Q228" i="15"/>
  <c r="U228" i="15" s="1"/>
  <c r="Q226" i="15"/>
  <c r="U226" i="15" s="1"/>
  <c r="Q231" i="15"/>
  <c r="U231" i="15" s="1"/>
  <c r="S237" i="15"/>
  <c r="W237" i="15" s="1"/>
  <c r="R237" i="15"/>
  <c r="V237" i="15" s="1"/>
  <c r="S231" i="15"/>
  <c r="W231" i="15" s="1"/>
  <c r="Q237" i="15"/>
  <c r="U237" i="15" s="1"/>
  <c r="Q229" i="15"/>
  <c r="U229" i="15" s="1"/>
  <c r="Q233" i="15"/>
  <c r="U233" i="15" s="1"/>
  <c r="S225" i="15"/>
  <c r="W225" i="15" s="1"/>
  <c r="Q222" i="15"/>
  <c r="U222" i="15" s="1"/>
  <c r="Q220" i="15"/>
  <c r="U220" i="15" s="1"/>
  <c r="K220" i="15" s="1"/>
  <c r="Q224" i="15"/>
  <c r="U224" i="15" s="1"/>
  <c r="T237" i="15"/>
  <c r="X237" i="15" s="1"/>
  <c r="T236" i="15"/>
  <c r="X236" i="15" s="1"/>
  <c r="S236" i="15"/>
  <c r="W236" i="15" s="1"/>
  <c r="R236" i="15"/>
  <c r="V236" i="15" s="1"/>
  <c r="R235" i="15"/>
  <c r="V235" i="15" s="1"/>
  <c r="R229" i="15"/>
  <c r="V229" i="15" s="1"/>
  <c r="T228" i="15"/>
  <c r="X228" i="15" s="1"/>
  <c r="L228" i="15" s="1"/>
  <c r="T235" i="15"/>
  <c r="X235" i="15" s="1"/>
  <c r="R231" i="15"/>
  <c r="V231" i="15" s="1"/>
  <c r="S228" i="15"/>
  <c r="W228" i="15" s="1"/>
  <c r="Q230" i="15"/>
  <c r="U230" i="15" s="1"/>
  <c r="S230" i="15"/>
  <c r="W230" i="15" s="1"/>
  <c r="S235" i="15"/>
  <c r="W235" i="15" s="1"/>
  <c r="Q227" i="15"/>
  <c r="U227" i="15" s="1"/>
  <c r="S229" i="15"/>
  <c r="W229" i="15" s="1"/>
  <c r="R232" i="15"/>
  <c r="V232" i="15" s="1"/>
  <c r="R233" i="15"/>
  <c r="V233" i="15" s="1"/>
  <c r="T229" i="15"/>
  <c r="X229" i="15" s="1"/>
  <c r="L229" i="15" s="1"/>
  <c r="T234" i="15"/>
  <c r="X234" i="15" s="1"/>
  <c r="T233" i="15"/>
  <c r="X233" i="15" s="1"/>
  <c r="T225" i="15"/>
  <c r="X225" i="15" s="1"/>
  <c r="L225" i="15" s="1"/>
  <c r="S234" i="15"/>
  <c r="W234" i="15" s="1"/>
  <c r="Q221" i="15"/>
  <c r="U221" i="15" s="1"/>
  <c r="R227" i="15"/>
  <c r="V227" i="15" s="1"/>
  <c r="S226" i="15"/>
  <c r="W226" i="15" s="1"/>
  <c r="S233" i="15"/>
  <c r="W233" i="15" s="1"/>
  <c r="Q232" i="15"/>
  <c r="U232" i="15" s="1"/>
  <c r="R230" i="15"/>
  <c r="V230" i="15" s="1"/>
  <c r="R228" i="15"/>
  <c r="V228" i="15" s="1"/>
  <c r="T230" i="15"/>
  <c r="X230" i="15" s="1"/>
  <c r="L230" i="15" s="1"/>
  <c r="R171" i="15"/>
  <c r="V171" i="15" s="1"/>
  <c r="R173" i="15"/>
  <c r="V173" i="15" s="1"/>
  <c r="R179" i="15"/>
  <c r="V179" i="15" s="1"/>
  <c r="R181" i="15"/>
  <c r="V181" i="15" s="1"/>
  <c r="T171" i="15"/>
  <c r="X171" i="15" s="1"/>
  <c r="T173" i="15"/>
  <c r="X173" i="15" s="1"/>
  <c r="T179" i="15"/>
  <c r="X179" i="15" s="1"/>
  <c r="T181" i="15"/>
  <c r="X181" i="15" s="1"/>
  <c r="R183" i="15"/>
  <c r="V183" i="15" s="1"/>
  <c r="Q169" i="15"/>
  <c r="U169" i="15" s="1"/>
  <c r="T178" i="15"/>
  <c r="X178" i="15" s="1"/>
  <c r="R167" i="15"/>
  <c r="V167" i="15" s="1"/>
  <c r="R177" i="15"/>
  <c r="V177" i="15" s="1"/>
  <c r="R170" i="15"/>
  <c r="V170" i="15" s="1"/>
  <c r="Q175" i="15"/>
  <c r="U175" i="15" s="1"/>
  <c r="T170" i="15"/>
  <c r="X170" i="15" s="1"/>
  <c r="Q177" i="15"/>
  <c r="U177" i="15" s="1"/>
  <c r="Q183" i="15"/>
  <c r="U183" i="15" s="1"/>
  <c r="R169" i="15"/>
  <c r="V169" i="15" s="1"/>
  <c r="R175" i="15"/>
  <c r="V175" i="15" s="1"/>
  <c r="R178" i="15"/>
  <c r="V178" i="15" s="1"/>
  <c r="Q167" i="15"/>
  <c r="U167" i="15" s="1"/>
  <c r="Q182" i="15"/>
  <c r="U182" i="15" s="1"/>
  <c r="Q172" i="15"/>
  <c r="U172" i="15" s="1"/>
  <c r="Q181" i="15"/>
  <c r="U181" i="15" s="1"/>
  <c r="R174" i="15"/>
  <c r="V174" i="15" s="1"/>
  <c r="Q171" i="15"/>
  <c r="U171" i="15" s="1"/>
  <c r="R172" i="15"/>
  <c r="V172" i="15" s="1"/>
  <c r="R182" i="15"/>
  <c r="V182" i="15" s="1"/>
  <c r="T175" i="15"/>
  <c r="X175" i="15" s="1"/>
  <c r="T169" i="15"/>
  <c r="X169" i="15" s="1"/>
  <c r="T174" i="15"/>
  <c r="X174" i="15" s="1"/>
  <c r="T180" i="15"/>
  <c r="X180" i="15" s="1"/>
  <c r="R168" i="15"/>
  <c r="V168" i="15" s="1"/>
  <c r="T182" i="15"/>
  <c r="X182" i="15" s="1"/>
  <c r="T167" i="15"/>
  <c r="X167" i="15" s="1"/>
  <c r="T176" i="15"/>
  <c r="X176" i="15" s="1"/>
  <c r="Q178" i="15"/>
  <c r="U178" i="15" s="1"/>
  <c r="T172" i="15"/>
  <c r="X172" i="15" s="1"/>
  <c r="T183" i="15"/>
  <c r="X183" i="15" s="1"/>
  <c r="Q170" i="15"/>
  <c r="U170" i="15" s="1"/>
  <c r="T168" i="15"/>
  <c r="X168" i="15" s="1"/>
  <c r="Q180" i="15"/>
  <c r="U180" i="15" s="1"/>
  <c r="Q173" i="15"/>
  <c r="U173" i="15" s="1"/>
  <c r="Q176" i="15"/>
  <c r="U176" i="15" s="1"/>
  <c r="R176" i="15"/>
  <c r="V176" i="15" s="1"/>
  <c r="Q174" i="15"/>
  <c r="U174" i="15" s="1"/>
  <c r="Q168" i="15"/>
  <c r="U168" i="15" s="1"/>
  <c r="R180" i="15"/>
  <c r="V180" i="15" s="1"/>
  <c r="Q179" i="15"/>
  <c r="U179" i="15" s="1"/>
  <c r="T177" i="15"/>
  <c r="X177" i="15" s="1"/>
  <c r="G65" i="16"/>
  <c r="G50" i="16"/>
  <c r="G60" i="16"/>
  <c r="G67" i="16"/>
  <c r="G64" i="16"/>
  <c r="G66" i="16"/>
  <c r="G68" i="16"/>
  <c r="G49" i="16"/>
  <c r="G63" i="16"/>
  <c r="G59" i="16"/>
  <c r="G58" i="16"/>
  <c r="G52" i="16"/>
  <c r="G53" i="16"/>
  <c r="G51" i="16"/>
  <c r="G57" i="16"/>
  <c r="G61" i="16"/>
  <c r="G55" i="16"/>
  <c r="G56" i="16"/>
  <c r="G54" i="16"/>
  <c r="G62" i="16"/>
  <c r="Q49" i="16"/>
  <c r="P49" i="16"/>
  <c r="O49" i="16"/>
  <c r="L113" i="15" l="1"/>
  <c r="M114" i="15"/>
  <c r="L114" i="15"/>
  <c r="L57" i="15"/>
  <c r="L56" i="15"/>
  <c r="R49" i="16"/>
  <c r="T49" i="16"/>
  <c r="S49" i="16"/>
  <c r="N161" i="26"/>
  <c r="M161" i="26"/>
  <c r="L161" i="26"/>
  <c r="K161" i="26"/>
  <c r="N160" i="26"/>
  <c r="M160" i="26"/>
  <c r="L160" i="26"/>
  <c r="K160" i="26"/>
  <c r="N158" i="26"/>
  <c r="M158" i="26"/>
  <c r="L158" i="26"/>
  <c r="K158" i="26"/>
  <c r="N156" i="26"/>
  <c r="M156" i="26"/>
  <c r="L156" i="26"/>
  <c r="K156" i="26"/>
  <c r="N155" i="26"/>
  <c r="M155" i="26"/>
  <c r="L155" i="26"/>
  <c r="K155" i="26"/>
  <c r="N154" i="26"/>
  <c r="M154" i="26"/>
  <c r="L154" i="26"/>
  <c r="K154" i="26"/>
  <c r="N153" i="26"/>
  <c r="M153" i="26"/>
  <c r="L153" i="26"/>
  <c r="K153" i="26"/>
  <c r="N152" i="26"/>
  <c r="M152" i="26"/>
  <c r="L152" i="26"/>
  <c r="K152" i="26"/>
  <c r="N151" i="26"/>
  <c r="M151" i="26"/>
  <c r="L151" i="26"/>
  <c r="K151" i="26"/>
  <c r="N150" i="26"/>
  <c r="M150" i="26"/>
  <c r="L150" i="26"/>
  <c r="K150" i="26"/>
  <c r="N149" i="26"/>
  <c r="M149" i="26"/>
  <c r="L149" i="26"/>
  <c r="K149" i="26"/>
  <c r="K41" i="26"/>
  <c r="L41" i="26"/>
  <c r="M41" i="26"/>
  <c r="N41" i="26"/>
  <c r="N40" i="26"/>
  <c r="M40" i="26"/>
  <c r="L40" i="26"/>
  <c r="K40" i="26"/>
  <c r="N38" i="26"/>
  <c r="M38" i="26"/>
  <c r="L38" i="26"/>
  <c r="K38" i="26"/>
  <c r="N36" i="26"/>
  <c r="M36" i="26"/>
  <c r="L36" i="26"/>
  <c r="K36" i="26"/>
  <c r="N35" i="26"/>
  <c r="M35" i="26"/>
  <c r="L35" i="26"/>
  <c r="N34" i="26"/>
  <c r="M34" i="26"/>
  <c r="L34" i="26"/>
  <c r="K34" i="26"/>
  <c r="N33" i="26"/>
  <c r="M33" i="26"/>
  <c r="L33" i="26"/>
  <c r="K33" i="26"/>
  <c r="N32" i="26"/>
  <c r="M32" i="26"/>
  <c r="L32" i="26"/>
  <c r="K32" i="26"/>
  <c r="N31" i="26"/>
  <c r="M31" i="26"/>
  <c r="L31" i="26"/>
  <c r="K31" i="26"/>
  <c r="N30" i="26"/>
  <c r="M30" i="26"/>
  <c r="L30" i="26"/>
  <c r="K30" i="26"/>
  <c r="N29" i="26"/>
  <c r="M29" i="26"/>
  <c r="L29" i="26"/>
  <c r="K29" i="26"/>
  <c r="N107" i="16"/>
  <c r="N108" i="16"/>
  <c r="N109" i="16"/>
  <c r="N110" i="16"/>
  <c r="N111" i="16"/>
  <c r="N112" i="16"/>
  <c r="N113" i="16"/>
  <c r="N114" i="16"/>
  <c r="N115" i="16"/>
  <c r="N116" i="16"/>
  <c r="N117" i="16"/>
  <c r="N118" i="16"/>
  <c r="N119" i="16"/>
  <c r="N120" i="16"/>
  <c r="N121" i="16"/>
  <c r="N122" i="16"/>
  <c r="F144" i="26"/>
  <c r="F143" i="26"/>
  <c r="F142" i="26"/>
  <c r="F141" i="26"/>
  <c r="G141" i="26"/>
  <c r="G21" i="26"/>
  <c r="N159" i="26"/>
  <c r="J72" i="26"/>
  <c r="J71" i="26"/>
  <c r="J70" i="26"/>
  <c r="J69" i="26"/>
  <c r="J68" i="26"/>
  <c r="J67" i="26"/>
  <c r="J66" i="26"/>
  <c r="J63" i="26"/>
  <c r="J62" i="26"/>
  <c r="J59" i="26"/>
  <c r="J58" i="26"/>
  <c r="J57" i="26"/>
  <c r="D192" i="26" l="1"/>
  <c r="D189" i="26"/>
  <c r="E63" i="26"/>
  <c r="E62" i="26"/>
  <c r="E59" i="26"/>
  <c r="E58" i="26"/>
  <c r="E57" i="26"/>
  <c r="E71" i="26"/>
  <c r="E70" i="26"/>
  <c r="E68" i="26"/>
  <c r="E67" i="26"/>
  <c r="D69" i="26"/>
  <c r="D72" i="26"/>
  <c r="F159" i="26"/>
  <c r="K51" i="16"/>
  <c r="K50" i="16"/>
  <c r="K49" i="16"/>
  <c r="E159" i="26"/>
  <c r="D159" i="26"/>
  <c r="D26" i="26"/>
  <c r="D13" i="26"/>
  <c r="D53" i="26"/>
  <c r="R69" i="16"/>
  <c r="S69" i="16"/>
  <c r="AF39" i="26" s="1"/>
  <c r="T69" i="16"/>
  <c r="AG39" i="26" s="1"/>
  <c r="R113" i="16"/>
  <c r="R119" i="16"/>
  <c r="R111" i="16"/>
  <c r="R117" i="16"/>
  <c r="R109" i="16"/>
  <c r="G115" i="16"/>
  <c r="G107" i="16"/>
  <c r="O115" i="16"/>
  <c r="O107" i="16"/>
  <c r="P119" i="16"/>
  <c r="P111" i="16"/>
  <c r="Q115" i="16"/>
  <c r="Q107" i="16"/>
  <c r="K159" i="26"/>
  <c r="E179" i="26" s="1"/>
  <c r="G122" i="16"/>
  <c r="G114" i="16"/>
  <c r="O122" i="16"/>
  <c r="O114" i="16"/>
  <c r="P118" i="16"/>
  <c r="P110" i="16"/>
  <c r="Q122" i="16"/>
  <c r="Q114" i="16"/>
  <c r="R118" i="16"/>
  <c r="R110" i="16"/>
  <c r="L159" i="26"/>
  <c r="E182" i="26" s="1"/>
  <c r="G121" i="16"/>
  <c r="G113" i="16"/>
  <c r="O121" i="16"/>
  <c r="O113" i="16"/>
  <c r="P117" i="16"/>
  <c r="P109" i="16"/>
  <c r="Q121" i="16"/>
  <c r="Q113" i="16"/>
  <c r="M159" i="26"/>
  <c r="E190" i="26" s="1"/>
  <c r="G120" i="16"/>
  <c r="G112" i="16"/>
  <c r="O120" i="16"/>
  <c r="O112" i="16"/>
  <c r="P116" i="16"/>
  <c r="P108" i="16"/>
  <c r="Q120" i="16"/>
  <c r="Q112" i="16"/>
  <c r="R116" i="16"/>
  <c r="R108" i="16"/>
  <c r="G119" i="16"/>
  <c r="G111" i="16"/>
  <c r="O119" i="16"/>
  <c r="O111" i="16"/>
  <c r="P115" i="16"/>
  <c r="P107" i="16"/>
  <c r="Q119" i="16"/>
  <c r="Q111" i="16"/>
  <c r="R115" i="16"/>
  <c r="R107" i="16"/>
  <c r="G118" i="16"/>
  <c r="G110" i="16"/>
  <c r="O118" i="16"/>
  <c r="O110" i="16"/>
  <c r="P122" i="16"/>
  <c r="P114" i="16"/>
  <c r="Q118" i="16"/>
  <c r="Q110" i="16"/>
  <c r="R122" i="16"/>
  <c r="R114" i="16"/>
  <c r="G117" i="16"/>
  <c r="G109" i="16"/>
  <c r="O117" i="16"/>
  <c r="O109" i="16"/>
  <c r="P121" i="16"/>
  <c r="P113" i="16"/>
  <c r="Q117" i="16"/>
  <c r="Q109" i="16"/>
  <c r="R121" i="16"/>
  <c r="G116" i="16"/>
  <c r="G108" i="16"/>
  <c r="O116" i="16"/>
  <c r="O108" i="16"/>
  <c r="P120" i="16"/>
  <c r="P112" i="16"/>
  <c r="Q116" i="16"/>
  <c r="Q108" i="16"/>
  <c r="R120" i="16"/>
  <c r="R112" i="16"/>
  <c r="E177" i="26" l="1"/>
  <c r="E191" i="26"/>
  <c r="E187" i="26"/>
  <c r="E188" i="26"/>
  <c r="E183" i="26"/>
  <c r="E184" i="26" s="1"/>
  <c r="E178" i="26"/>
  <c r="D39" i="26"/>
  <c r="AE39" i="26"/>
  <c r="AH39" i="26" s="1"/>
  <c r="E39" i="26"/>
  <c r="F39" i="26"/>
  <c r="K69" i="16"/>
  <c r="F13" i="16" s="1"/>
  <c r="G159" i="26"/>
  <c r="E60" i="26"/>
  <c r="E64" i="26"/>
  <c r="E180" i="26" l="1"/>
  <c r="G39" i="26"/>
  <c r="N77" i="16"/>
  <c r="G77" i="16" s="1"/>
  <c r="N78" i="16"/>
  <c r="G78" i="16" s="1"/>
  <c r="N79" i="16"/>
  <c r="G79" i="16" s="1"/>
  <c r="N80" i="16"/>
  <c r="G80" i="16" s="1"/>
  <c r="N81" i="16"/>
  <c r="G81" i="16" s="1"/>
  <c r="N82" i="16"/>
  <c r="G82" i="16" s="1"/>
  <c r="N83" i="16"/>
  <c r="G83" i="16" s="1"/>
  <c r="N84" i="16"/>
  <c r="G84" i="16" s="1"/>
  <c r="N85" i="16"/>
  <c r="G85" i="16" s="1"/>
  <c r="N86" i="16"/>
  <c r="G86" i="16" s="1"/>
  <c r="N87" i="16"/>
  <c r="G87" i="16" s="1"/>
  <c r="N88" i="16"/>
  <c r="G88" i="16" s="1"/>
  <c r="N89" i="16"/>
  <c r="G89" i="16" s="1"/>
  <c r="N90" i="16"/>
  <c r="G90" i="16" s="1"/>
  <c r="N91" i="16"/>
  <c r="G91" i="16" s="1"/>
  <c r="N92" i="16"/>
  <c r="G92" i="16" s="1"/>
  <c r="N93" i="16"/>
  <c r="G93" i="16" s="1"/>
  <c r="N94" i="16"/>
  <c r="G94" i="16" s="1"/>
  <c r="N95" i="16"/>
  <c r="G95" i="16" s="1"/>
  <c r="Q88" i="16" l="1"/>
  <c r="P88" i="16"/>
  <c r="O88" i="16"/>
  <c r="Q80" i="16"/>
  <c r="P80" i="16"/>
  <c r="O80" i="16"/>
  <c r="Q91" i="16"/>
  <c r="P91" i="16"/>
  <c r="O91" i="16"/>
  <c r="Q94" i="16"/>
  <c r="P94" i="16"/>
  <c r="O94" i="16"/>
  <c r="Q90" i="16"/>
  <c r="P90" i="16"/>
  <c r="O90" i="16"/>
  <c r="Q86" i="16"/>
  <c r="P86" i="16"/>
  <c r="O86" i="16"/>
  <c r="Q82" i="16"/>
  <c r="P82" i="16"/>
  <c r="O82" i="16"/>
  <c r="Q78" i="16"/>
  <c r="P78" i="16"/>
  <c r="O78" i="16"/>
  <c r="Q92" i="16"/>
  <c r="P92" i="16"/>
  <c r="O92" i="16"/>
  <c r="Q84" i="16"/>
  <c r="P84" i="16"/>
  <c r="O84" i="16"/>
  <c r="Q95" i="16"/>
  <c r="P95" i="16"/>
  <c r="O95" i="16"/>
  <c r="Q87" i="16"/>
  <c r="P87" i="16"/>
  <c r="O87" i="16"/>
  <c r="Q83" i="16"/>
  <c r="P83" i="16"/>
  <c r="O83" i="16"/>
  <c r="Q79" i="16"/>
  <c r="P79" i="16"/>
  <c r="O79" i="16"/>
  <c r="Q93" i="16"/>
  <c r="P93" i="16"/>
  <c r="O93" i="16"/>
  <c r="Q89" i="16"/>
  <c r="P89" i="16"/>
  <c r="O89" i="16"/>
  <c r="Q85" i="16"/>
  <c r="P85" i="16"/>
  <c r="O85" i="16"/>
  <c r="Q81" i="16"/>
  <c r="P81" i="16"/>
  <c r="O81" i="16"/>
  <c r="Q77" i="16"/>
  <c r="P77" i="16"/>
  <c r="O77" i="16"/>
  <c r="G12" i="12" l="1"/>
  <c r="G13" i="12"/>
  <c r="G208" i="15" l="1"/>
  <c r="G182" i="15"/>
  <c r="G207" i="15"/>
  <c r="G199" i="15"/>
  <c r="G232" i="15"/>
  <c r="G224" i="15"/>
  <c r="G233" i="15"/>
  <c r="G181" i="15"/>
  <c r="G206" i="15"/>
  <c r="G198" i="15"/>
  <c r="G231" i="15"/>
  <c r="G223" i="15"/>
  <c r="G197" i="15"/>
  <c r="G230" i="15"/>
  <c r="G222" i="15"/>
  <c r="G179" i="15"/>
  <c r="G237" i="15"/>
  <c r="G229" i="15"/>
  <c r="G221" i="15"/>
  <c r="G225" i="15"/>
  <c r="G178" i="15"/>
  <c r="G203" i="15"/>
  <c r="G236" i="15"/>
  <c r="G228" i="15"/>
  <c r="G220" i="15"/>
  <c r="G183" i="15"/>
  <c r="G180" i="15"/>
  <c r="G204" i="15"/>
  <c r="G210" i="15"/>
  <c r="G202" i="15"/>
  <c r="G235" i="15"/>
  <c r="G227" i="15"/>
  <c r="G200" i="15"/>
  <c r="G205" i="15"/>
  <c r="G209" i="15"/>
  <c r="G201" i="15"/>
  <c r="G234" i="15"/>
  <c r="G226" i="15"/>
  <c r="G119" i="15"/>
  <c r="G127" i="15"/>
  <c r="G126" i="15"/>
  <c r="G118" i="15"/>
  <c r="G128" i="15"/>
  <c r="G125" i="15"/>
  <c r="G117" i="15"/>
  <c r="G123" i="15"/>
  <c r="G115" i="15"/>
  <c r="G120" i="15"/>
  <c r="G124" i="15"/>
  <c r="G116" i="15"/>
  <c r="G122" i="15"/>
  <c r="G129" i="15"/>
  <c r="G121" i="15"/>
  <c r="G100" i="15"/>
  <c r="G92" i="15"/>
  <c r="G91" i="15"/>
  <c r="G98" i="15"/>
  <c r="G90" i="15"/>
  <c r="G101" i="15"/>
  <c r="G97" i="15"/>
  <c r="G89" i="15"/>
  <c r="G93" i="15"/>
  <c r="G99" i="15"/>
  <c r="G96" i="15"/>
  <c r="G88" i="15"/>
  <c r="G95" i="15"/>
  <c r="G102" i="15"/>
  <c r="G94" i="15"/>
  <c r="G150" i="15"/>
  <c r="G149" i="15"/>
  <c r="G156" i="15"/>
  <c r="G148" i="15"/>
  <c r="G155" i="15"/>
  <c r="G154" i="15"/>
  <c r="G153" i="15"/>
  <c r="G152" i="15"/>
  <c r="G151" i="15"/>
  <c r="G69" i="15"/>
  <c r="G75" i="15"/>
  <c r="G71" i="15"/>
  <c r="G70" i="15"/>
  <c r="G74" i="15"/>
  <c r="G73" i="15"/>
  <c r="G72" i="15"/>
  <c r="D42" i="23" l="1"/>
  <c r="AG21" i="26" s="1"/>
  <c r="D69" i="23"/>
  <c r="AG22" i="26" s="1"/>
  <c r="D96" i="23"/>
  <c r="AG23" i="26" s="1"/>
  <c r="D123" i="23"/>
  <c r="AG24" i="26" s="1"/>
  <c r="E13" i="23" l="1"/>
  <c r="E12" i="23"/>
  <c r="E15" i="23"/>
  <c r="E14" i="23"/>
  <c r="F21" i="26"/>
  <c r="F22" i="26"/>
  <c r="F24" i="26"/>
  <c r="F23" i="26"/>
  <c r="B103" i="23" l="1"/>
  <c r="B76" i="23"/>
  <c r="B49" i="23"/>
  <c r="B22" i="23"/>
  <c r="B3" i="23"/>
  <c r="B3" i="16"/>
  <c r="B10" i="10"/>
  <c r="V107" i="16"/>
  <c r="V111" i="16"/>
  <c r="V113" i="16"/>
  <c r="V115" i="16"/>
  <c r="V117" i="16"/>
  <c r="V119" i="16"/>
  <c r="V121" i="16"/>
  <c r="V109" i="16" l="1"/>
  <c r="V122" i="16"/>
  <c r="V114" i="16"/>
  <c r="V118" i="16"/>
  <c r="V110" i="16"/>
  <c r="V120" i="16"/>
  <c r="V116" i="16"/>
  <c r="V112" i="16"/>
  <c r="V108" i="16"/>
  <c r="C168" i="15" l="1"/>
  <c r="B3" i="10"/>
  <c r="G168" i="15" l="1"/>
  <c r="L168" i="15" l="1"/>
  <c r="T122" i="16" l="1"/>
  <c r="C122" i="16"/>
  <c r="U121" i="16"/>
  <c r="T121" i="16"/>
  <c r="C121" i="16"/>
  <c r="T120" i="16"/>
  <c r="C120" i="16"/>
  <c r="U119" i="16"/>
  <c r="T119" i="16"/>
  <c r="C119" i="16"/>
  <c r="T118" i="16"/>
  <c r="C118" i="16"/>
  <c r="U117" i="16"/>
  <c r="T117" i="16"/>
  <c r="C117" i="16"/>
  <c r="T116" i="16"/>
  <c r="C116" i="16"/>
  <c r="U115" i="16"/>
  <c r="S115" i="16"/>
  <c r="C115" i="16"/>
  <c r="U114" i="16"/>
  <c r="T114" i="16"/>
  <c r="S114" i="16"/>
  <c r="C114" i="16"/>
  <c r="U113" i="16"/>
  <c r="C113" i="16"/>
  <c r="T112" i="16"/>
  <c r="C112" i="16"/>
  <c r="S111" i="16"/>
  <c r="C111" i="16"/>
  <c r="S110" i="16"/>
  <c r="C110" i="16"/>
  <c r="U109" i="16"/>
  <c r="T109" i="16"/>
  <c r="C109" i="16"/>
  <c r="S108" i="16"/>
  <c r="C108" i="16"/>
  <c r="U107" i="16"/>
  <c r="C107" i="16"/>
  <c r="C106" i="16"/>
  <c r="N106" i="16" s="1"/>
  <c r="C105" i="16"/>
  <c r="N105" i="16" s="1"/>
  <c r="C104" i="16"/>
  <c r="N104" i="16" s="1"/>
  <c r="C103" i="16"/>
  <c r="N103" i="16" s="1"/>
  <c r="G103" i="16" s="1"/>
  <c r="C95" i="16"/>
  <c r="C94" i="16"/>
  <c r="C93" i="16"/>
  <c r="C92" i="16"/>
  <c r="C91" i="16"/>
  <c r="C90" i="16"/>
  <c r="C89" i="16"/>
  <c r="C88" i="16"/>
  <c r="C87" i="16"/>
  <c r="C86" i="16"/>
  <c r="C85" i="16"/>
  <c r="C84" i="16"/>
  <c r="C83" i="16"/>
  <c r="C82" i="16"/>
  <c r="C81" i="16"/>
  <c r="C80" i="16"/>
  <c r="C79" i="16"/>
  <c r="C78" i="16"/>
  <c r="C77" i="16"/>
  <c r="C76" i="16"/>
  <c r="N76" i="16" s="1"/>
  <c r="G76" i="16" s="1"/>
  <c r="C41" i="16"/>
  <c r="C40" i="16"/>
  <c r="C39" i="16"/>
  <c r="C38" i="16"/>
  <c r="C37" i="16"/>
  <c r="C36" i="16"/>
  <c r="C35" i="16"/>
  <c r="C34" i="16"/>
  <c r="C33" i="16"/>
  <c r="C32" i="16"/>
  <c r="C31" i="16"/>
  <c r="C30" i="16"/>
  <c r="C29" i="16"/>
  <c r="C28" i="16"/>
  <c r="C27" i="16"/>
  <c r="C26" i="16"/>
  <c r="C25" i="16"/>
  <c r="C24" i="16"/>
  <c r="N24" i="16" s="1"/>
  <c r="C23" i="16"/>
  <c r="N23" i="16" s="1"/>
  <c r="C22" i="16"/>
  <c r="N22" i="16" s="1"/>
  <c r="C218" i="15"/>
  <c r="O218" i="15" s="1"/>
  <c r="C219" i="15"/>
  <c r="O219" i="15" s="1"/>
  <c r="C220" i="15"/>
  <c r="C221" i="15"/>
  <c r="C222" i="15"/>
  <c r="C223" i="15"/>
  <c r="C224" i="15"/>
  <c r="C225" i="15"/>
  <c r="C226" i="15"/>
  <c r="C227" i="15"/>
  <c r="C228" i="15"/>
  <c r="C229" i="15"/>
  <c r="C230" i="15"/>
  <c r="C231" i="15"/>
  <c r="C232" i="15"/>
  <c r="C233" i="15"/>
  <c r="C234" i="15"/>
  <c r="C235" i="15"/>
  <c r="C236" i="15"/>
  <c r="C237" i="15"/>
  <c r="C191" i="15"/>
  <c r="O191" i="15" s="1"/>
  <c r="C192" i="15"/>
  <c r="O192" i="15" s="1"/>
  <c r="C193" i="15"/>
  <c r="O193" i="15" s="1"/>
  <c r="C194" i="15"/>
  <c r="O194" i="15" s="1"/>
  <c r="C195" i="15"/>
  <c r="O195" i="15" s="1"/>
  <c r="C196" i="15"/>
  <c r="O196" i="15" s="1"/>
  <c r="C197" i="15"/>
  <c r="C198" i="15"/>
  <c r="C199" i="15"/>
  <c r="C200" i="15"/>
  <c r="C201" i="15"/>
  <c r="C202" i="15"/>
  <c r="C203" i="15"/>
  <c r="C204" i="15"/>
  <c r="C205" i="15"/>
  <c r="C206" i="15"/>
  <c r="C207" i="15"/>
  <c r="C208" i="15"/>
  <c r="C209" i="15"/>
  <c r="C210" i="15"/>
  <c r="C164" i="15"/>
  <c r="C165" i="15"/>
  <c r="O165" i="15" s="1"/>
  <c r="C166" i="15"/>
  <c r="O166" i="15" s="1"/>
  <c r="C167" i="15"/>
  <c r="C169" i="15"/>
  <c r="C170" i="15"/>
  <c r="C171" i="15"/>
  <c r="C172" i="15"/>
  <c r="C173" i="15"/>
  <c r="C174" i="15"/>
  <c r="C175" i="15"/>
  <c r="C176" i="15"/>
  <c r="C177" i="15"/>
  <c r="C178" i="15"/>
  <c r="C179" i="15"/>
  <c r="C180" i="15"/>
  <c r="C181" i="15"/>
  <c r="C182" i="15"/>
  <c r="C183" i="15"/>
  <c r="C137" i="15"/>
  <c r="O137" i="15" s="1"/>
  <c r="S137" i="15" s="1"/>
  <c r="W137" i="15" s="1"/>
  <c r="C138" i="15"/>
  <c r="O138" i="15" s="1"/>
  <c r="C139" i="15"/>
  <c r="O139" i="15" s="1"/>
  <c r="C140" i="15"/>
  <c r="O140" i="15" s="1"/>
  <c r="C141" i="15"/>
  <c r="O141" i="15" s="1"/>
  <c r="C142" i="15"/>
  <c r="C143" i="15"/>
  <c r="O143" i="15" s="1"/>
  <c r="C144" i="15"/>
  <c r="O144" i="15" s="1"/>
  <c r="C145" i="15"/>
  <c r="O145" i="15" s="1"/>
  <c r="C146" i="15"/>
  <c r="O146" i="15" s="1"/>
  <c r="C147" i="15"/>
  <c r="O147" i="15" s="1"/>
  <c r="C148" i="15"/>
  <c r="C149" i="15"/>
  <c r="C150" i="15"/>
  <c r="C151" i="15"/>
  <c r="C152" i="15"/>
  <c r="C153" i="15"/>
  <c r="C154" i="15"/>
  <c r="C155" i="15"/>
  <c r="C156" i="15"/>
  <c r="C110" i="15"/>
  <c r="O110" i="15" s="1"/>
  <c r="AB110" i="15" s="1"/>
  <c r="C111" i="15"/>
  <c r="O111" i="15" s="1"/>
  <c r="AB111" i="15" s="1"/>
  <c r="C112" i="15"/>
  <c r="O112" i="15" s="1"/>
  <c r="C113" i="15"/>
  <c r="C114" i="15"/>
  <c r="C115" i="15"/>
  <c r="C116" i="15"/>
  <c r="C117" i="15"/>
  <c r="C118" i="15"/>
  <c r="C119" i="15"/>
  <c r="C120" i="15"/>
  <c r="C121" i="15"/>
  <c r="C122" i="15"/>
  <c r="C123" i="15"/>
  <c r="C124" i="15"/>
  <c r="C125" i="15"/>
  <c r="C126" i="15"/>
  <c r="C127" i="15"/>
  <c r="C128" i="15"/>
  <c r="C129" i="15"/>
  <c r="C83" i="15"/>
  <c r="O83" i="15" s="1"/>
  <c r="C84" i="15"/>
  <c r="O84" i="15" s="1"/>
  <c r="C85" i="15"/>
  <c r="C86" i="15"/>
  <c r="C87" i="15"/>
  <c r="C88" i="15"/>
  <c r="C89" i="15"/>
  <c r="C90" i="15"/>
  <c r="C91" i="15"/>
  <c r="C92" i="15"/>
  <c r="C93" i="15"/>
  <c r="C94" i="15"/>
  <c r="C95" i="15"/>
  <c r="C96" i="15"/>
  <c r="C97" i="15"/>
  <c r="C98" i="15"/>
  <c r="C99" i="15"/>
  <c r="C100" i="15"/>
  <c r="C101" i="15"/>
  <c r="C102" i="15"/>
  <c r="C69" i="15"/>
  <c r="C70" i="15"/>
  <c r="C71" i="15"/>
  <c r="C72" i="15"/>
  <c r="C73" i="15"/>
  <c r="C74" i="15"/>
  <c r="C75" i="15"/>
  <c r="G15" i="12"/>
  <c r="G14" i="12"/>
  <c r="G11" i="12"/>
  <c r="G10" i="12"/>
  <c r="G9" i="12"/>
  <c r="G8" i="12"/>
  <c r="G7" i="12"/>
  <c r="G6" i="12"/>
  <c r="G5" i="12"/>
  <c r="G4" i="12"/>
  <c r="AB112" i="15" l="1"/>
  <c r="AP112" i="15" s="1"/>
  <c r="AJ84" i="15"/>
  <c r="AM84" i="15" s="1"/>
  <c r="AH84" i="15"/>
  <c r="BC84" i="15" s="1"/>
  <c r="BS84" i="15" s="1"/>
  <c r="AF84" i="15"/>
  <c r="BA84" i="15" s="1"/>
  <c r="BQ84" i="15" s="1"/>
  <c r="AD84" i="15"/>
  <c r="AY84" i="15" s="1"/>
  <c r="BO84" i="15" s="1"/>
  <c r="AB84" i="15"/>
  <c r="AW84" i="15" s="1"/>
  <c r="BM84" i="15" s="1"/>
  <c r="Z84" i="15"/>
  <c r="AN84" i="15" s="1"/>
  <c r="AG84" i="15"/>
  <c r="BB84" i="15" s="1"/>
  <c r="BR84" i="15" s="1"/>
  <c r="Y84" i="15"/>
  <c r="AV84" i="15" s="1"/>
  <c r="BL84" i="15" s="1"/>
  <c r="AA84" i="15"/>
  <c r="AL84" i="15" s="1"/>
  <c r="AI84" i="15"/>
  <c r="BD84" i="15" s="1"/>
  <c r="BT84" i="15" s="1"/>
  <c r="AE84" i="15"/>
  <c r="AZ84" i="15" s="1"/>
  <c r="BP84" i="15" s="1"/>
  <c r="AC84" i="15"/>
  <c r="AX84" i="15" s="1"/>
  <c r="BN84" i="15" s="1"/>
  <c r="AI83" i="15"/>
  <c r="BD83" i="15" s="1"/>
  <c r="BT83" i="15" s="1"/>
  <c r="AG83" i="15"/>
  <c r="BB83" i="15" s="1"/>
  <c r="BR83" i="15" s="1"/>
  <c r="AE83" i="15"/>
  <c r="AZ83" i="15" s="1"/>
  <c r="BP83" i="15" s="1"/>
  <c r="AC83" i="15"/>
  <c r="AX83" i="15" s="1"/>
  <c r="BN83" i="15" s="1"/>
  <c r="AA83" i="15"/>
  <c r="AL83" i="15" s="1"/>
  <c r="AF151" i="26" s="1"/>
  <c r="Y83" i="15"/>
  <c r="AV83" i="15" s="1"/>
  <c r="BL83" i="15" s="1"/>
  <c r="AJ83" i="15"/>
  <c r="AH83" i="15"/>
  <c r="BC83" i="15" s="1"/>
  <c r="BS83" i="15" s="1"/>
  <c r="AF83" i="15"/>
  <c r="BA83" i="15" s="1"/>
  <c r="BQ83" i="15" s="1"/>
  <c r="AD83" i="15"/>
  <c r="AY83" i="15" s="1"/>
  <c r="BO83" i="15" s="1"/>
  <c r="AB83" i="15"/>
  <c r="AW83" i="15" s="1"/>
  <c r="BM83" i="15" s="1"/>
  <c r="Z83" i="15"/>
  <c r="AN83" i="15" s="1"/>
  <c r="AJ111" i="15"/>
  <c r="BF111" i="15" s="1"/>
  <c r="BV111" i="15" s="1"/>
  <c r="AH111" i="15"/>
  <c r="BD111" i="15" s="1"/>
  <c r="BT111" i="15" s="1"/>
  <c r="AF111" i="15"/>
  <c r="BB111" i="15" s="1"/>
  <c r="BR111" i="15" s="1"/>
  <c r="AD111" i="15"/>
  <c r="AZ111" i="15" s="1"/>
  <c r="BP111" i="15" s="1"/>
  <c r="Z111" i="15"/>
  <c r="AO111" i="15" s="1"/>
  <c r="AK111" i="15"/>
  <c r="AN111" i="15" s="1"/>
  <c r="AC111" i="15"/>
  <c r="AY111" i="15" s="1"/>
  <c r="BO111" i="15" s="1"/>
  <c r="AI111" i="15"/>
  <c r="BE111" i="15" s="1"/>
  <c r="BU111" i="15" s="1"/>
  <c r="AA111" i="15"/>
  <c r="AM111" i="15" s="1"/>
  <c r="AE111" i="15"/>
  <c r="BA111" i="15" s="1"/>
  <c r="BQ111" i="15" s="1"/>
  <c r="AG111" i="15"/>
  <c r="BC111" i="15" s="1"/>
  <c r="BS111" i="15" s="1"/>
  <c r="Y111" i="15"/>
  <c r="AX111" i="15" s="1"/>
  <c r="BN111" i="15" s="1"/>
  <c r="AP111" i="15"/>
  <c r="AK112" i="15"/>
  <c r="AN112" i="15" s="1"/>
  <c r="AI112" i="15"/>
  <c r="BE112" i="15" s="1"/>
  <c r="BU112" i="15" s="1"/>
  <c r="AG112" i="15"/>
  <c r="BC112" i="15" s="1"/>
  <c r="BS112" i="15" s="1"/>
  <c r="AE112" i="15"/>
  <c r="BA112" i="15" s="1"/>
  <c r="BQ112" i="15" s="1"/>
  <c r="AC112" i="15"/>
  <c r="AY112" i="15" s="1"/>
  <c r="BO112" i="15" s="1"/>
  <c r="AA112" i="15"/>
  <c r="AM112" i="15" s="1"/>
  <c r="Y112" i="15"/>
  <c r="AX112" i="15" s="1"/>
  <c r="BN112" i="15" s="1"/>
  <c r="AJ112" i="15"/>
  <c r="BF112" i="15" s="1"/>
  <c r="BV112" i="15" s="1"/>
  <c r="AH112" i="15"/>
  <c r="BD112" i="15" s="1"/>
  <c r="BT112" i="15" s="1"/>
  <c r="AF112" i="15"/>
  <c r="BB112" i="15" s="1"/>
  <c r="BR112" i="15" s="1"/>
  <c r="AD112" i="15"/>
  <c r="AZ112" i="15" s="1"/>
  <c r="BP112" i="15" s="1"/>
  <c r="Z112" i="15"/>
  <c r="AO112" i="15" s="1"/>
  <c r="AK110" i="15"/>
  <c r="AI110" i="15"/>
  <c r="BE110" i="15" s="1"/>
  <c r="BU110" i="15" s="1"/>
  <c r="AG110" i="15"/>
  <c r="BC110" i="15" s="1"/>
  <c r="BS110" i="15" s="1"/>
  <c r="AE110" i="15"/>
  <c r="BA110" i="15" s="1"/>
  <c r="BQ110" i="15" s="1"/>
  <c r="AC110" i="15"/>
  <c r="AY110" i="15" s="1"/>
  <c r="BO110" i="15" s="1"/>
  <c r="AA110" i="15"/>
  <c r="Y110" i="15"/>
  <c r="AX110" i="15" s="1"/>
  <c r="BN110" i="15" s="1"/>
  <c r="AJ110" i="15"/>
  <c r="BF110" i="15" s="1"/>
  <c r="BV110" i="15" s="1"/>
  <c r="AH110" i="15"/>
  <c r="BD110" i="15" s="1"/>
  <c r="BT110" i="15" s="1"/>
  <c r="AF110" i="15"/>
  <c r="BB110" i="15" s="1"/>
  <c r="BR110" i="15" s="1"/>
  <c r="AD110" i="15"/>
  <c r="AZ110" i="15" s="1"/>
  <c r="BP110" i="15" s="1"/>
  <c r="Z110" i="15"/>
  <c r="AO110" i="15" s="1"/>
  <c r="AP110" i="15"/>
  <c r="AF152" i="26" s="1"/>
  <c r="Q193" i="15"/>
  <c r="U193" i="15" s="1"/>
  <c r="T193" i="15"/>
  <c r="X193" i="15" s="1"/>
  <c r="S193" i="15"/>
  <c r="W193" i="15" s="1"/>
  <c r="R193" i="15"/>
  <c r="V193" i="15" s="1"/>
  <c r="Q139" i="15"/>
  <c r="U139" i="15" s="1"/>
  <c r="T139" i="15"/>
  <c r="X139" i="15" s="1"/>
  <c r="M139" i="15" s="1"/>
  <c r="S139" i="15"/>
  <c r="W139" i="15" s="1"/>
  <c r="R139" i="15"/>
  <c r="V139" i="15" s="1"/>
  <c r="Q138" i="15"/>
  <c r="U138" i="15" s="1"/>
  <c r="S138" i="15"/>
  <c r="W138" i="15" s="1"/>
  <c r="T138" i="15"/>
  <c r="X138" i="15" s="1"/>
  <c r="M138" i="15" s="1"/>
  <c r="R138" i="15"/>
  <c r="V138" i="15" s="1"/>
  <c r="R145" i="15"/>
  <c r="V145" i="15" s="1"/>
  <c r="T145" i="15"/>
  <c r="X145" i="15" s="1"/>
  <c r="Q145" i="15"/>
  <c r="U145" i="15" s="1"/>
  <c r="S145" i="15"/>
  <c r="W145" i="15" s="1"/>
  <c r="Q147" i="15"/>
  <c r="U147" i="15" s="1"/>
  <c r="T147" i="15"/>
  <c r="X147" i="15" s="1"/>
  <c r="R147" i="15"/>
  <c r="V147" i="15" s="1"/>
  <c r="S147" i="15"/>
  <c r="W147" i="15" s="1"/>
  <c r="W84" i="15"/>
  <c r="AT84" i="15" s="1"/>
  <c r="BJ84" i="15" s="1"/>
  <c r="Q84" i="15"/>
  <c r="AK84" i="15" s="1"/>
  <c r="T84" i="15"/>
  <c r="AQ84" i="15" s="1"/>
  <c r="BG84" i="15" s="1"/>
  <c r="U84" i="15"/>
  <c r="AR84" i="15" s="1"/>
  <c r="BH84" i="15" s="1"/>
  <c r="R84" i="15"/>
  <c r="AO84" i="15" s="1"/>
  <c r="BE84" i="15" s="1"/>
  <c r="V84" i="15"/>
  <c r="AS84" i="15" s="1"/>
  <c r="BI84" i="15" s="1"/>
  <c r="X84" i="15"/>
  <c r="AU84" i="15" s="1"/>
  <c r="BK84" i="15" s="1"/>
  <c r="S84" i="15"/>
  <c r="AP84" i="15" s="1"/>
  <c r="BF84" i="15" s="1"/>
  <c r="AF150" i="26"/>
  <c r="Q144" i="15"/>
  <c r="U144" i="15" s="1"/>
  <c r="R144" i="15"/>
  <c r="V144" i="15" s="1"/>
  <c r="S144" i="15"/>
  <c r="W144" i="15" s="1"/>
  <c r="T144" i="15"/>
  <c r="X144" i="15" s="1"/>
  <c r="Q166" i="15"/>
  <c r="U166" i="15" s="1"/>
  <c r="R166" i="15"/>
  <c r="V166" i="15" s="1"/>
  <c r="T166" i="15"/>
  <c r="X166" i="15" s="1"/>
  <c r="S166" i="15"/>
  <c r="W166" i="15" s="1"/>
  <c r="Q140" i="15"/>
  <c r="U140" i="15" s="1"/>
  <c r="R140" i="15"/>
  <c r="V140" i="15" s="1"/>
  <c r="S140" i="15"/>
  <c r="W140" i="15" s="1"/>
  <c r="T140" i="15"/>
  <c r="X140" i="15" s="1"/>
  <c r="M140" i="15" s="1"/>
  <c r="P24" i="16"/>
  <c r="T24" i="16" s="1"/>
  <c r="S24" i="16"/>
  <c r="W24" i="16" s="1"/>
  <c r="M24" i="16" s="1"/>
  <c r="R24" i="16"/>
  <c r="V24" i="16" s="1"/>
  <c r="Q24" i="16"/>
  <c r="U24" i="16" s="1"/>
  <c r="W112" i="15"/>
  <c r="AV112" i="15" s="1"/>
  <c r="BL112" i="15" s="1"/>
  <c r="X112" i="15"/>
  <c r="AW112" i="15" s="1"/>
  <c r="BM112" i="15" s="1"/>
  <c r="R112" i="15"/>
  <c r="AQ112" i="15" s="1"/>
  <c r="BG112" i="15" s="1"/>
  <c r="V112" i="15"/>
  <c r="AU112" i="15" s="1"/>
  <c r="BK112" i="15" s="1"/>
  <c r="S112" i="15"/>
  <c r="AR112" i="15" s="1"/>
  <c r="BH112" i="15" s="1"/>
  <c r="U112" i="15"/>
  <c r="AT112" i="15" s="1"/>
  <c r="BJ112" i="15" s="1"/>
  <c r="T112" i="15"/>
  <c r="AS112" i="15" s="1"/>
  <c r="BI112" i="15" s="1"/>
  <c r="Q112" i="15"/>
  <c r="AL112" i="15" s="1"/>
  <c r="Q143" i="15"/>
  <c r="U143" i="15" s="1"/>
  <c r="T143" i="15"/>
  <c r="X143" i="15" s="1"/>
  <c r="M143" i="15" s="1"/>
  <c r="R143" i="15"/>
  <c r="V143" i="15" s="1"/>
  <c r="S143" i="15"/>
  <c r="W143" i="15" s="1"/>
  <c r="Q165" i="15"/>
  <c r="U165" i="15" s="1"/>
  <c r="T165" i="15"/>
  <c r="X165" i="15" s="1"/>
  <c r="S165" i="15"/>
  <c r="W165" i="15" s="1"/>
  <c r="R165" i="15"/>
  <c r="V165" i="15" s="1"/>
  <c r="Q196" i="15"/>
  <c r="U196" i="15" s="1"/>
  <c r="R196" i="15"/>
  <c r="V196" i="15" s="1"/>
  <c r="T196" i="15"/>
  <c r="X196" i="15" s="1"/>
  <c r="S196" i="15"/>
  <c r="W196" i="15" s="1"/>
  <c r="Q219" i="15"/>
  <c r="U219" i="15" s="1"/>
  <c r="R219" i="15"/>
  <c r="V219" i="15" s="1"/>
  <c r="T219" i="15"/>
  <c r="X219" i="15" s="1"/>
  <c r="L219" i="15" s="1"/>
  <c r="S219" i="15"/>
  <c r="W219" i="15" s="1"/>
  <c r="Q146" i="15"/>
  <c r="U146" i="15" s="1"/>
  <c r="T146" i="15"/>
  <c r="X146" i="15" s="1"/>
  <c r="S146" i="15"/>
  <c r="W146" i="15" s="1"/>
  <c r="R146" i="15"/>
  <c r="V146" i="15" s="1"/>
  <c r="X111" i="15"/>
  <c r="AW111" i="15" s="1"/>
  <c r="BM111" i="15" s="1"/>
  <c r="U111" i="15"/>
  <c r="AT111" i="15" s="1"/>
  <c r="BJ111" i="15" s="1"/>
  <c r="V111" i="15"/>
  <c r="AU111" i="15" s="1"/>
  <c r="BK111" i="15" s="1"/>
  <c r="W111" i="15"/>
  <c r="AV111" i="15" s="1"/>
  <c r="BL111" i="15" s="1"/>
  <c r="Q111" i="15"/>
  <c r="AL111" i="15" s="1"/>
  <c r="S111" i="15"/>
  <c r="AR111" i="15" s="1"/>
  <c r="BH111" i="15" s="1"/>
  <c r="R111" i="15"/>
  <c r="AQ111" i="15" s="1"/>
  <c r="BG111" i="15" s="1"/>
  <c r="T111" i="15"/>
  <c r="AS111" i="15" s="1"/>
  <c r="BI111" i="15" s="1"/>
  <c r="O142" i="15"/>
  <c r="G142" i="15" s="1"/>
  <c r="R195" i="15"/>
  <c r="V195" i="15" s="1"/>
  <c r="AF155" i="26" s="1"/>
  <c r="T195" i="15"/>
  <c r="X195" i="15" s="1"/>
  <c r="Q195" i="15"/>
  <c r="U195" i="15" s="1"/>
  <c r="AE155" i="26" s="1"/>
  <c r="S195" i="15"/>
  <c r="W195" i="15" s="1"/>
  <c r="AG155" i="26" s="1"/>
  <c r="AE186" i="26" s="1"/>
  <c r="P23" i="16"/>
  <c r="T23" i="16" s="1"/>
  <c r="S23" i="16"/>
  <c r="W23" i="16" s="1"/>
  <c r="M23" i="16" s="1"/>
  <c r="Q23" i="16"/>
  <c r="U23" i="16" s="1"/>
  <c r="R23" i="16"/>
  <c r="V23" i="16" s="1"/>
  <c r="Q192" i="15"/>
  <c r="U192" i="15" s="1"/>
  <c r="S192" i="15"/>
  <c r="W192" i="15" s="1"/>
  <c r="R192" i="15"/>
  <c r="V192" i="15" s="1"/>
  <c r="T192" i="15"/>
  <c r="X192" i="15" s="1"/>
  <c r="R141" i="15"/>
  <c r="V141" i="15" s="1"/>
  <c r="T141" i="15"/>
  <c r="X141" i="15" s="1"/>
  <c r="Q141" i="15"/>
  <c r="U141" i="15" s="1"/>
  <c r="S141" i="15"/>
  <c r="W141" i="15" s="1"/>
  <c r="Q194" i="15"/>
  <c r="U194" i="15" s="1"/>
  <c r="R194" i="15"/>
  <c r="V194" i="15" s="1"/>
  <c r="T194" i="15"/>
  <c r="X194" i="15" s="1"/>
  <c r="S194" i="15"/>
  <c r="W194" i="15" s="1"/>
  <c r="G192" i="15"/>
  <c r="G170" i="15"/>
  <c r="G177" i="15"/>
  <c r="G169" i="15"/>
  <c r="G191" i="15"/>
  <c r="T191" i="15"/>
  <c r="X191" i="15" s="1"/>
  <c r="M191" i="15" s="1"/>
  <c r="S191" i="15"/>
  <c r="G176" i="15"/>
  <c r="G167" i="15"/>
  <c r="G175" i="15"/>
  <c r="G166" i="15"/>
  <c r="G171" i="15"/>
  <c r="G174" i="15"/>
  <c r="G165" i="15"/>
  <c r="G219" i="15"/>
  <c r="G173" i="15"/>
  <c r="G164" i="15"/>
  <c r="T164" i="15"/>
  <c r="X164" i="15" s="1"/>
  <c r="S164" i="15"/>
  <c r="W164" i="15" s="1"/>
  <c r="G218" i="15"/>
  <c r="S218" i="15"/>
  <c r="T218" i="15"/>
  <c r="X218" i="15" s="1"/>
  <c r="L218" i="15" s="1"/>
  <c r="G193" i="15"/>
  <c r="G172" i="15"/>
  <c r="G194" i="15"/>
  <c r="R22" i="16"/>
  <c r="V22" i="16" s="1"/>
  <c r="S22" i="16"/>
  <c r="W22" i="16" s="1"/>
  <c r="M22" i="16" s="1"/>
  <c r="G196" i="15"/>
  <c r="G195" i="15"/>
  <c r="G114" i="15"/>
  <c r="G113" i="15"/>
  <c r="G112" i="15"/>
  <c r="G111" i="15"/>
  <c r="G110" i="15"/>
  <c r="X110" i="15"/>
  <c r="AW110" i="15" s="1"/>
  <c r="BM110" i="15" s="1"/>
  <c r="V110" i="15"/>
  <c r="AU110" i="15" s="1"/>
  <c r="BK110" i="15" s="1"/>
  <c r="T110" i="15"/>
  <c r="AS110" i="15" s="1"/>
  <c r="BI110" i="15" s="1"/>
  <c r="R110" i="15"/>
  <c r="AQ110" i="15" s="1"/>
  <c r="BG110" i="15" s="1"/>
  <c r="W110" i="15"/>
  <c r="AV110" i="15" s="1"/>
  <c r="BL110" i="15" s="1"/>
  <c r="U110" i="15"/>
  <c r="AT110" i="15" s="1"/>
  <c r="BJ110" i="15" s="1"/>
  <c r="S110" i="15"/>
  <c r="AR110" i="15" s="1"/>
  <c r="BH110" i="15" s="1"/>
  <c r="Q110" i="15"/>
  <c r="AL110" i="15" s="1"/>
  <c r="AE152" i="26" s="1"/>
  <c r="R83" i="15"/>
  <c r="AO83" i="15" s="1"/>
  <c r="BE83" i="15" s="1"/>
  <c r="U83" i="15"/>
  <c r="AR83" i="15" s="1"/>
  <c r="BH83" i="15" s="1"/>
  <c r="X83" i="15"/>
  <c r="AU83" i="15" s="1"/>
  <c r="BK83" i="15" s="1"/>
  <c r="W83" i="15"/>
  <c r="AT83" i="15" s="1"/>
  <c r="BJ83" i="15" s="1"/>
  <c r="V83" i="15"/>
  <c r="AS83" i="15" s="1"/>
  <c r="BI83" i="15" s="1"/>
  <c r="T83" i="15"/>
  <c r="AQ83" i="15" s="1"/>
  <c r="BG83" i="15" s="1"/>
  <c r="S83" i="15"/>
  <c r="AP83" i="15" s="1"/>
  <c r="BF83" i="15" s="1"/>
  <c r="G86" i="15"/>
  <c r="G85" i="15"/>
  <c r="G87" i="15"/>
  <c r="G84" i="15"/>
  <c r="G83" i="15"/>
  <c r="BL76" i="15"/>
  <c r="G147" i="15"/>
  <c r="G146" i="15"/>
  <c r="G145" i="15"/>
  <c r="G140" i="15"/>
  <c r="G139" i="15"/>
  <c r="G138" i="15"/>
  <c r="G137" i="15"/>
  <c r="T137" i="15"/>
  <c r="X137" i="15" s="1"/>
  <c r="M137" i="15" s="1"/>
  <c r="G141" i="15"/>
  <c r="G144" i="15"/>
  <c r="G143" i="15"/>
  <c r="Q22" i="16"/>
  <c r="U22" i="16" s="1"/>
  <c r="P22" i="16"/>
  <c r="T22" i="16" s="1"/>
  <c r="Q83" i="15"/>
  <c r="AK83" i="15" s="1"/>
  <c r="Q76" i="16"/>
  <c r="T76" i="16" s="1"/>
  <c r="F160" i="26" s="1"/>
  <c r="P76" i="16"/>
  <c r="S76" i="16" s="1"/>
  <c r="E160" i="26" s="1"/>
  <c r="O76" i="16"/>
  <c r="R164" i="15"/>
  <c r="Q164" i="15"/>
  <c r="Q137" i="15"/>
  <c r="R137" i="15"/>
  <c r="Q191" i="15"/>
  <c r="R191" i="15"/>
  <c r="Q218" i="15"/>
  <c r="R218" i="15"/>
  <c r="G104" i="16"/>
  <c r="R104" i="16"/>
  <c r="P104" i="16"/>
  <c r="T104" i="16" s="1"/>
  <c r="Q104" i="16"/>
  <c r="U104" i="16" s="1"/>
  <c r="O104" i="16"/>
  <c r="Q103" i="16"/>
  <c r="O103" i="16"/>
  <c r="R103" i="16"/>
  <c r="P103" i="16"/>
  <c r="G106" i="16"/>
  <c r="R106" i="16"/>
  <c r="P106" i="16"/>
  <c r="Q106" i="16"/>
  <c r="U106" i="16" s="1"/>
  <c r="O106" i="16"/>
  <c r="G105" i="16"/>
  <c r="R105" i="16"/>
  <c r="P105" i="16"/>
  <c r="T105" i="16" s="1"/>
  <c r="Q105" i="16"/>
  <c r="O105" i="16"/>
  <c r="T77" i="16"/>
  <c r="S78" i="16"/>
  <c r="R79" i="16"/>
  <c r="T81" i="16"/>
  <c r="S82" i="16"/>
  <c r="R83" i="16"/>
  <c r="T85" i="16"/>
  <c r="S86" i="16"/>
  <c r="R87" i="16"/>
  <c r="T89" i="16"/>
  <c r="S90" i="16"/>
  <c r="R91" i="16"/>
  <c r="T93" i="16"/>
  <c r="S94" i="16"/>
  <c r="R95" i="16"/>
  <c r="T78" i="16"/>
  <c r="S79" i="16"/>
  <c r="R80" i="16"/>
  <c r="T82" i="16"/>
  <c r="S83" i="16"/>
  <c r="R84" i="16"/>
  <c r="T86" i="16"/>
  <c r="S87" i="16"/>
  <c r="R88" i="16"/>
  <c r="T90" i="16"/>
  <c r="S91" i="16"/>
  <c r="R92" i="16"/>
  <c r="T94" i="16"/>
  <c r="S95" i="16"/>
  <c r="R77" i="16"/>
  <c r="T79" i="16"/>
  <c r="S80" i="16"/>
  <c r="R81" i="16"/>
  <c r="T83" i="16"/>
  <c r="S84" i="16"/>
  <c r="R85" i="16"/>
  <c r="T87" i="16"/>
  <c r="S88" i="16"/>
  <c r="R89" i="16"/>
  <c r="T91" i="16"/>
  <c r="S92" i="16"/>
  <c r="R93" i="16"/>
  <c r="T95" i="16"/>
  <c r="S77" i="16"/>
  <c r="R78" i="16"/>
  <c r="T80" i="16"/>
  <c r="S81" i="16"/>
  <c r="R82" i="16"/>
  <c r="T84" i="16"/>
  <c r="S85" i="16"/>
  <c r="R86" i="16"/>
  <c r="T88" i="16"/>
  <c r="S89" i="16"/>
  <c r="R90" i="16"/>
  <c r="T92" i="16"/>
  <c r="S93" i="16"/>
  <c r="R94" i="16"/>
  <c r="U112" i="16"/>
  <c r="U118" i="16"/>
  <c r="T108" i="16"/>
  <c r="U120" i="16"/>
  <c r="T115" i="16"/>
  <c r="U116" i="16"/>
  <c r="S107" i="16"/>
  <c r="U108" i="16"/>
  <c r="U110" i="16"/>
  <c r="U111" i="16"/>
  <c r="S112" i="16"/>
  <c r="T113" i="16"/>
  <c r="U122" i="16"/>
  <c r="T111" i="16"/>
  <c r="T107" i="16"/>
  <c r="S109" i="16"/>
  <c r="T110" i="16"/>
  <c r="S113" i="16"/>
  <c r="S116" i="16"/>
  <c r="S118" i="16"/>
  <c r="S120" i="16"/>
  <c r="S122" i="16"/>
  <c r="S117" i="16"/>
  <c r="S119" i="16"/>
  <c r="S121" i="16"/>
  <c r="L238" i="15" l="1"/>
  <c r="BK103" i="15"/>
  <c r="BF103" i="15"/>
  <c r="BH103" i="15"/>
  <c r="BM103" i="15"/>
  <c r="BI103" i="15"/>
  <c r="BJ103" i="15"/>
  <c r="BR103" i="15"/>
  <c r="BE103" i="15"/>
  <c r="BT103" i="15"/>
  <c r="BQ130" i="15"/>
  <c r="BR130" i="15"/>
  <c r="BT130" i="15"/>
  <c r="BM76" i="15"/>
  <c r="BK76" i="15"/>
  <c r="BS130" i="15"/>
  <c r="BG103" i="15"/>
  <c r="BO103" i="15"/>
  <c r="BN103" i="15"/>
  <c r="BP103" i="15"/>
  <c r="BN130" i="15"/>
  <c r="AX130" i="15"/>
  <c r="BQ103" i="15"/>
  <c r="BO76" i="15"/>
  <c r="AY76" i="15"/>
  <c r="BD103" i="15"/>
  <c r="BS76" i="15"/>
  <c r="BC76" i="15"/>
  <c r="BN76" i="15"/>
  <c r="AX76" i="15"/>
  <c r="BU130" i="15"/>
  <c r="BU76" i="15"/>
  <c r="BE76" i="15"/>
  <c r="BQ76" i="15"/>
  <c r="BA76" i="15"/>
  <c r="BI76" i="15"/>
  <c r="AZ76" i="15"/>
  <c r="BP76" i="15"/>
  <c r="BT76" i="15"/>
  <c r="BD76" i="15"/>
  <c r="BW76" i="15"/>
  <c r="BG76" i="15"/>
  <c r="BV76" i="15"/>
  <c r="BF76" i="15"/>
  <c r="BJ76" i="15"/>
  <c r="BS103" i="15"/>
  <c r="BC103" i="15"/>
  <c r="BP130" i="15"/>
  <c r="BX76" i="15"/>
  <c r="BH76" i="15"/>
  <c r="AV103" i="15"/>
  <c r="BL103" i="15"/>
  <c r="BR76" i="15"/>
  <c r="BB76" i="15"/>
  <c r="BO130" i="15"/>
  <c r="BF130" i="15"/>
  <c r="BV130" i="15"/>
  <c r="AE182" i="26"/>
  <c r="L24" i="16"/>
  <c r="L23" i="16"/>
  <c r="Q142" i="15"/>
  <c r="U142" i="15" s="1"/>
  <c r="S142" i="15"/>
  <c r="W142" i="15" s="1"/>
  <c r="AG153" i="26" s="1"/>
  <c r="AE190" i="26" s="1"/>
  <c r="T142" i="15"/>
  <c r="X142" i="15" s="1"/>
  <c r="AE197" i="26" s="1"/>
  <c r="AG197" i="26" s="1"/>
  <c r="R142" i="15"/>
  <c r="V142" i="15" s="1"/>
  <c r="AF153" i="26" s="1"/>
  <c r="AG150" i="26"/>
  <c r="AH155" i="26"/>
  <c r="AE151" i="26"/>
  <c r="D151" i="26"/>
  <c r="D179" i="26" s="1"/>
  <c r="AE202" i="26"/>
  <c r="D202" i="26"/>
  <c r="AE178" i="26"/>
  <c r="W42" i="16"/>
  <c r="AF77" i="26" s="1"/>
  <c r="X184" i="15"/>
  <c r="X211" i="15"/>
  <c r="X238" i="15"/>
  <c r="L196" i="15"/>
  <c r="U42" i="16"/>
  <c r="AF38" i="26" s="1"/>
  <c r="L195" i="15"/>
  <c r="BK130" i="15"/>
  <c r="BI130" i="15"/>
  <c r="AT130" i="15"/>
  <c r="BJ130" i="15"/>
  <c r="BH130" i="15"/>
  <c r="AV130" i="15"/>
  <c r="BL130" i="15"/>
  <c r="BM130" i="15"/>
  <c r="BG130" i="15"/>
  <c r="AQ76" i="15"/>
  <c r="AF30" i="26" s="1"/>
  <c r="AR76" i="15"/>
  <c r="D82" i="26" s="1"/>
  <c r="AY103" i="15"/>
  <c r="AS130" i="15"/>
  <c r="AU76" i="15"/>
  <c r="AO130" i="15"/>
  <c r="AZ130" i="15"/>
  <c r="AO103" i="15"/>
  <c r="AT103" i="15"/>
  <c r="AS103" i="15"/>
  <c r="BA103" i="15"/>
  <c r="AN103" i="15"/>
  <c r="AU130" i="15"/>
  <c r="AS76" i="15"/>
  <c r="AZ103" i="15"/>
  <c r="AW130" i="15"/>
  <c r="AV76" i="15"/>
  <c r="AY130" i="15"/>
  <c r="BA130" i="15"/>
  <c r="AW76" i="15"/>
  <c r="AQ103" i="15"/>
  <c r="AU103" i="15"/>
  <c r="AP130" i="15"/>
  <c r="AF32" i="26" s="1"/>
  <c r="BC130" i="15"/>
  <c r="BB130" i="15"/>
  <c r="AX103" i="15"/>
  <c r="BB103" i="15"/>
  <c r="BD130" i="15"/>
  <c r="AT76" i="15"/>
  <c r="AP103" i="15"/>
  <c r="AP76" i="15"/>
  <c r="AW103" i="15"/>
  <c r="AR103" i="15"/>
  <c r="AR130" i="15"/>
  <c r="AQ130" i="15"/>
  <c r="BE130" i="15"/>
  <c r="L146" i="15"/>
  <c r="L147" i="15"/>
  <c r="V137" i="15"/>
  <c r="U137" i="15"/>
  <c r="D152" i="26"/>
  <c r="F150" i="26"/>
  <c r="S105" i="16"/>
  <c r="W191" i="15"/>
  <c r="S104" i="16"/>
  <c r="T103" i="16"/>
  <c r="T106" i="16"/>
  <c r="AO76" i="15"/>
  <c r="U105" i="16"/>
  <c r="U103" i="16"/>
  <c r="S106" i="16"/>
  <c r="V106" i="16"/>
  <c r="V105" i="16"/>
  <c r="V103" i="16"/>
  <c r="V104" i="16"/>
  <c r="S103" i="16"/>
  <c r="U191" i="15"/>
  <c r="AN110" i="15"/>
  <c r="U218" i="15"/>
  <c r="V191" i="15"/>
  <c r="U164" i="15"/>
  <c r="V218" i="15"/>
  <c r="V164" i="15"/>
  <c r="W218" i="15"/>
  <c r="AM83" i="15"/>
  <c r="AM110" i="15"/>
  <c r="E152" i="26" s="1"/>
  <c r="E151" i="26"/>
  <c r="R76" i="16"/>
  <c r="K76" i="16" s="1"/>
  <c r="T96" i="16"/>
  <c r="AG40" i="26" s="1"/>
  <c r="S96" i="16"/>
  <c r="AF40" i="26" s="1"/>
  <c r="AG178" i="26" l="1"/>
  <c r="AG190" i="26"/>
  <c r="AG182" i="26"/>
  <c r="F179" i="26"/>
  <c r="F153" i="26"/>
  <c r="D190" i="26" s="1"/>
  <c r="X157" i="15"/>
  <c r="D77" i="26" s="1"/>
  <c r="D197" i="26"/>
  <c r="F197" i="26" s="1"/>
  <c r="E77" i="26"/>
  <c r="W238" i="15"/>
  <c r="AH153" i="26"/>
  <c r="E153" i="26"/>
  <c r="AE150" i="26"/>
  <c r="AH150" i="26" s="1"/>
  <c r="AE62" i="26"/>
  <c r="F151" i="26"/>
  <c r="AG151" i="26"/>
  <c r="AH151" i="26" s="1"/>
  <c r="AE179" i="26"/>
  <c r="F152" i="26"/>
  <c r="G152" i="26" s="1"/>
  <c r="AG152" i="26"/>
  <c r="AH152" i="26" s="1"/>
  <c r="D153" i="26"/>
  <c r="D178" i="26"/>
  <c r="V238" i="15"/>
  <c r="W211" i="15"/>
  <c r="W184" i="15"/>
  <c r="V211" i="15"/>
  <c r="V184" i="15"/>
  <c r="V42" i="16"/>
  <c r="AG38" i="26" s="1"/>
  <c r="L169" i="15"/>
  <c r="L112" i="15"/>
  <c r="K84" i="15"/>
  <c r="L137" i="15"/>
  <c r="E40" i="26"/>
  <c r="F40" i="26"/>
  <c r="F30" i="26"/>
  <c r="AG30" i="26"/>
  <c r="AE82" i="26"/>
  <c r="L142" i="15"/>
  <c r="L144" i="15"/>
  <c r="L143" i="15"/>
  <c r="L167" i="15"/>
  <c r="L194" i="15"/>
  <c r="F155" i="26"/>
  <c r="D186" i="26" s="1"/>
  <c r="L192" i="15"/>
  <c r="K106" i="16"/>
  <c r="K103" i="16"/>
  <c r="K105" i="16"/>
  <c r="K104" i="16"/>
  <c r="I161" i="26"/>
  <c r="L22" i="16"/>
  <c r="K218" i="15"/>
  <c r="K219" i="15"/>
  <c r="L191" i="15"/>
  <c r="L193" i="15"/>
  <c r="L141" i="15"/>
  <c r="L164" i="15"/>
  <c r="L166" i="15"/>
  <c r="L165" i="15"/>
  <c r="L111" i="15"/>
  <c r="U157" i="15"/>
  <c r="L140" i="15"/>
  <c r="L110" i="15"/>
  <c r="K83" i="15"/>
  <c r="D150" i="26"/>
  <c r="J161" i="26"/>
  <c r="E161" i="26"/>
  <c r="D158" i="26"/>
  <c r="T123" i="16"/>
  <c r="AF41" i="26" s="1"/>
  <c r="AF42" i="26" s="1"/>
  <c r="U123" i="16"/>
  <c r="D155" i="26"/>
  <c r="F158" i="26"/>
  <c r="E192" i="26" s="1"/>
  <c r="E155" i="26"/>
  <c r="E158" i="26"/>
  <c r="S123" i="16"/>
  <c r="AE41" i="26" s="1"/>
  <c r="D161" i="26"/>
  <c r="R96" i="16"/>
  <c r="AE40" i="26" s="1"/>
  <c r="AH40" i="26" s="1"/>
  <c r="D160" i="26"/>
  <c r="F154" i="26"/>
  <c r="D191" i="26" s="1"/>
  <c r="E154" i="26"/>
  <c r="D154" i="26"/>
  <c r="D156" i="26"/>
  <c r="E156" i="26"/>
  <c r="F156" i="26"/>
  <c r="D188" i="26" s="1"/>
  <c r="AN76" i="15"/>
  <c r="E150" i="26"/>
  <c r="D182" i="26" s="1"/>
  <c r="V123" i="16"/>
  <c r="AK41" i="26" s="1"/>
  <c r="AM76" i="15"/>
  <c r="AL130" i="15"/>
  <c r="K96" i="16"/>
  <c r="F14" i="16" s="1"/>
  <c r="U211" i="15"/>
  <c r="U238" i="15"/>
  <c r="V157" i="15"/>
  <c r="AN130" i="15"/>
  <c r="AG32" i="26" s="1"/>
  <c r="T42" i="16"/>
  <c r="AE38" i="26" s="1"/>
  <c r="AK103" i="15"/>
  <c r="AL103" i="15"/>
  <c r="AF31" i="26" s="1"/>
  <c r="U184" i="15"/>
  <c r="AM103" i="15"/>
  <c r="AM130" i="15"/>
  <c r="AG179" i="26" l="1"/>
  <c r="F190" i="26"/>
  <c r="F178" i="26"/>
  <c r="AG62" i="26"/>
  <c r="K238" i="15"/>
  <c r="F19" i="15" s="1"/>
  <c r="AE77" i="26"/>
  <c r="G153" i="26"/>
  <c r="F77" i="26"/>
  <c r="AG41" i="26"/>
  <c r="AH41" i="26" s="1"/>
  <c r="M42" i="16"/>
  <c r="AF189" i="26"/>
  <c r="AG189" i="26" s="1"/>
  <c r="E189" i="26"/>
  <c r="F189" i="26" s="1"/>
  <c r="AF72" i="26"/>
  <c r="AG72" i="26" s="1"/>
  <c r="AE42" i="26"/>
  <c r="AH38" i="26"/>
  <c r="AF186" i="26"/>
  <c r="E186" i="26"/>
  <c r="M211" i="15"/>
  <c r="AG77" i="26"/>
  <c r="M130" i="15"/>
  <c r="K103" i="15"/>
  <c r="F14" i="15" s="1"/>
  <c r="F32" i="26"/>
  <c r="F31" i="26"/>
  <c r="AG31" i="26"/>
  <c r="D41" i="26"/>
  <c r="E33" i="26"/>
  <c r="AF33" i="26"/>
  <c r="E38" i="26"/>
  <c r="E35" i="26"/>
  <c r="AF35" i="26"/>
  <c r="E31" i="26"/>
  <c r="D35" i="26"/>
  <c r="AE35" i="26"/>
  <c r="E30" i="26"/>
  <c r="F38" i="26"/>
  <c r="F35" i="26"/>
  <c r="D66" i="26" s="1"/>
  <c r="AG35" i="26"/>
  <c r="AE66" i="26" s="1"/>
  <c r="E36" i="26"/>
  <c r="AF36" i="26"/>
  <c r="E34" i="26"/>
  <c r="AF34" i="26"/>
  <c r="D30" i="26"/>
  <c r="AE30" i="26"/>
  <c r="D34" i="26"/>
  <c r="AE34" i="26"/>
  <c r="F36" i="26"/>
  <c r="D68" i="26" s="1"/>
  <c r="AG36" i="26"/>
  <c r="AE68" i="26" s="1"/>
  <c r="D31" i="26"/>
  <c r="D59" i="26" s="1"/>
  <c r="AE31" i="26"/>
  <c r="AE59" i="26" s="1"/>
  <c r="E32" i="26"/>
  <c r="D32" i="26"/>
  <c r="D58" i="26" s="1"/>
  <c r="AE32" i="26"/>
  <c r="AE58" i="26" s="1"/>
  <c r="E41" i="26"/>
  <c r="D33" i="26"/>
  <c r="AE33" i="26"/>
  <c r="D36" i="26"/>
  <c r="AE36" i="26"/>
  <c r="F34" i="26"/>
  <c r="D71" i="26" s="1"/>
  <c r="AG34" i="26"/>
  <c r="AE71" i="26" s="1"/>
  <c r="D38" i="26"/>
  <c r="D40" i="26"/>
  <c r="G40" i="26" s="1"/>
  <c r="I41" i="26"/>
  <c r="AJ41" i="26"/>
  <c r="F182" i="26"/>
  <c r="E162" i="26"/>
  <c r="F161" i="26"/>
  <c r="F162" i="26" s="1"/>
  <c r="F191" i="26"/>
  <c r="G151" i="26"/>
  <c r="F188" i="26"/>
  <c r="L211" i="15"/>
  <c r="F18" i="15" s="1"/>
  <c r="L130" i="15"/>
  <c r="F15" i="15" s="1"/>
  <c r="L184" i="15"/>
  <c r="F17" i="15" s="1"/>
  <c r="D162" i="26"/>
  <c r="F41" i="26"/>
  <c r="G155" i="26"/>
  <c r="G158" i="26"/>
  <c r="K123" i="16"/>
  <c r="G160" i="26"/>
  <c r="L76" i="15"/>
  <c r="F13" i="15" s="1"/>
  <c r="G154" i="26"/>
  <c r="G150" i="26"/>
  <c r="G156" i="26"/>
  <c r="J41" i="26"/>
  <c r="AF69" i="26" s="1"/>
  <c r="AG69" i="26" s="1"/>
  <c r="L42" i="16"/>
  <c r="F12" i="16" s="1"/>
  <c r="AG59" i="26" l="1"/>
  <c r="AG68" i="26"/>
  <c r="AG58" i="26"/>
  <c r="AG71" i="26"/>
  <c r="AG42" i="26"/>
  <c r="AH42" i="26" s="1"/>
  <c r="AE17" i="26" s="1"/>
  <c r="D62" i="26"/>
  <c r="AG186" i="26"/>
  <c r="AF193" i="26"/>
  <c r="E66" i="26"/>
  <c r="F66" i="26" s="1"/>
  <c r="AF66" i="26"/>
  <c r="E69" i="26"/>
  <c r="F69" i="26" s="1"/>
  <c r="E72" i="26"/>
  <c r="F72" i="26" s="1"/>
  <c r="AH35" i="26"/>
  <c r="F42" i="26"/>
  <c r="F58" i="26"/>
  <c r="G31" i="26"/>
  <c r="D42" i="26"/>
  <c r="F59" i="26"/>
  <c r="G30" i="26"/>
  <c r="E42" i="26"/>
  <c r="G38" i="26"/>
  <c r="G36" i="26"/>
  <c r="G35" i="26"/>
  <c r="AH32" i="26"/>
  <c r="AH30" i="26"/>
  <c r="AH34" i="26"/>
  <c r="G32" i="26"/>
  <c r="AH36" i="26"/>
  <c r="G34" i="26"/>
  <c r="F71" i="26"/>
  <c r="F68" i="26"/>
  <c r="AH31" i="26"/>
  <c r="G161" i="26"/>
  <c r="E193" i="26"/>
  <c r="E195" i="26" s="1"/>
  <c r="F192" i="26"/>
  <c r="F15" i="16"/>
  <c r="G41" i="26"/>
  <c r="F62" i="26" l="1"/>
  <c r="G42" i="26"/>
  <c r="AF195" i="26"/>
  <c r="AG66" i="26"/>
  <c r="AF73" i="26"/>
  <c r="AF75" i="26" s="1"/>
  <c r="AF17" i="26"/>
  <c r="AG17" i="26"/>
  <c r="AH17" i="26"/>
  <c r="E73" i="26"/>
  <c r="E75" i="26" s="1"/>
  <c r="D17" i="26" l="1"/>
  <c r="E17" i="26" s="1"/>
  <c r="C9" i="14"/>
  <c r="W47" i="15" l="1"/>
  <c r="AT47" i="15" s="1"/>
  <c r="AE47" i="15"/>
  <c r="AZ47" i="15" s="1"/>
  <c r="S47" i="15"/>
  <c r="AP47" i="15" s="1"/>
  <c r="Q47" i="15"/>
  <c r="AK47" i="15" s="1"/>
  <c r="AJ47" i="15"/>
  <c r="AM47" i="15" s="1"/>
  <c r="AF47" i="15"/>
  <c r="BA47" i="15" s="1"/>
  <c r="AB47" i="15"/>
  <c r="AW47" i="15" s="1"/>
  <c r="X47" i="15"/>
  <c r="AU47" i="15" s="1"/>
  <c r="T47" i="15"/>
  <c r="AQ47" i="15" s="1"/>
  <c r="AH47" i="15"/>
  <c r="BC47" i="15" s="1"/>
  <c r="AD47" i="15"/>
  <c r="AY47" i="15" s="1"/>
  <c r="V47" i="15"/>
  <c r="AS47" i="15" s="1"/>
  <c r="AC47" i="15"/>
  <c r="AX47" i="15" s="1"/>
  <c r="U47" i="15"/>
  <c r="AR47" i="15" s="1"/>
  <c r="Y47" i="15"/>
  <c r="AV47" i="15" s="1"/>
  <c r="G47" i="15"/>
  <c r="AI47" i="15"/>
  <c r="BD47" i="15" s="1"/>
  <c r="R47" i="15"/>
  <c r="AO47" i="15" s="1"/>
  <c r="AG47" i="15"/>
  <c r="BB47" i="15" s="1"/>
  <c r="AA47" i="15"/>
  <c r="AL47" i="15" s="1"/>
  <c r="Z47" i="15"/>
  <c r="AN47" i="15" s="1"/>
  <c r="AA38" i="15"/>
  <c r="AL38" i="15" s="1"/>
  <c r="AA46" i="15"/>
  <c r="AL46" i="15" s="1"/>
  <c r="AA31" i="15"/>
  <c r="AL31" i="15" s="1"/>
  <c r="AA39" i="15"/>
  <c r="AL39" i="15" s="1"/>
  <c r="AA32" i="15"/>
  <c r="AL32" i="15" s="1"/>
  <c r="AA40" i="15"/>
  <c r="AL40" i="15" s="1"/>
  <c r="AA48" i="15"/>
  <c r="AL48" i="15" s="1"/>
  <c r="AA33" i="15"/>
  <c r="AL33" i="15" s="1"/>
  <c r="AA41" i="15"/>
  <c r="AL41" i="15" s="1"/>
  <c r="AA37" i="15"/>
  <c r="AL37" i="15" s="1"/>
  <c r="AA34" i="15"/>
  <c r="AL34" i="15" s="1"/>
  <c r="AA42" i="15"/>
  <c r="AL42" i="15" s="1"/>
  <c r="AA35" i="15"/>
  <c r="AL35" i="15" s="1"/>
  <c r="AA43" i="15"/>
  <c r="AL43" i="15" s="1"/>
  <c r="AA45" i="15"/>
  <c r="AL45" i="15" s="1"/>
  <c r="AA36" i="15"/>
  <c r="AL36" i="15" s="1"/>
  <c r="AA44" i="15"/>
  <c r="AL44" i="15" s="1"/>
  <c r="AA29" i="15"/>
  <c r="AL29" i="15" s="1"/>
  <c r="AA30" i="15"/>
  <c r="AL30" i="15" s="1"/>
  <c r="AG48" i="15"/>
  <c r="BB48" i="15" s="1"/>
  <c r="AG44" i="15"/>
  <c r="BB44" i="15" s="1"/>
  <c r="AG39" i="15"/>
  <c r="BB39" i="15" s="1"/>
  <c r="AF36" i="15"/>
  <c r="BA36" i="15" s="1"/>
  <c r="G35" i="15"/>
  <c r="AF37" i="15"/>
  <c r="BA37" i="15" s="1"/>
  <c r="Z48" i="15"/>
  <c r="AN48" i="15" s="1"/>
  <c r="R44" i="15"/>
  <c r="AO44" i="15" s="1"/>
  <c r="Z39" i="15"/>
  <c r="AN39" i="15" s="1"/>
  <c r="AI44" i="15"/>
  <c r="BD44" i="15" s="1"/>
  <c r="X44" i="15"/>
  <c r="AU44" i="15" s="1"/>
  <c r="AJ39" i="15"/>
  <c r="AM39" i="15" s="1"/>
  <c r="AB33" i="15"/>
  <c r="AW33" i="15" s="1"/>
  <c r="U35" i="15"/>
  <c r="AR35" i="15" s="1"/>
  <c r="AH44" i="15"/>
  <c r="BC44" i="15" s="1"/>
  <c r="V44" i="15"/>
  <c r="AS44" i="15" s="1"/>
  <c r="G44" i="15"/>
  <c r="U44" i="15"/>
  <c r="AR44" i="15" s="1"/>
  <c r="AC36" i="15"/>
  <c r="AX36" i="15" s="1"/>
  <c r="AF44" i="15"/>
  <c r="BA44" i="15" s="1"/>
  <c r="S44" i="15"/>
  <c r="AP44" i="15" s="1"/>
  <c r="AE39" i="15"/>
  <c r="AZ39" i="15" s="1"/>
  <c r="X37" i="15"/>
  <c r="AU37" i="15" s="1"/>
  <c r="W33" i="15"/>
  <c r="AT33" i="15" s="1"/>
  <c r="AD44" i="15"/>
  <c r="AY44" i="15" s="1"/>
  <c r="AD35" i="15"/>
  <c r="AY35" i="15" s="1"/>
  <c r="T33" i="15"/>
  <c r="AQ33" i="15" s="1"/>
  <c r="S37" i="15"/>
  <c r="AP37" i="15" s="1"/>
  <c r="Y48" i="15"/>
  <c r="AV48" i="15" s="1"/>
  <c r="AC43" i="15"/>
  <c r="AX43" i="15" s="1"/>
  <c r="AB36" i="15"/>
  <c r="AW36" i="15" s="1"/>
  <c r="Q44" i="15"/>
  <c r="AK44" i="15" s="1"/>
  <c r="AI38" i="15"/>
  <c r="BD38" i="15" s="1"/>
  <c r="W39" i="15"/>
  <c r="AT39" i="15" s="1"/>
  <c r="G29" i="15"/>
  <c r="AC44" i="15"/>
  <c r="AX44" i="15" s="1"/>
  <c r="T35" i="15"/>
  <c r="AQ35" i="15" s="1"/>
  <c r="G36" i="15"/>
  <c r="AJ30" i="15"/>
  <c r="AM30" i="15" s="1"/>
  <c r="Y38" i="15"/>
  <c r="AV38" i="15" s="1"/>
  <c r="Y45" i="15"/>
  <c r="AV45" i="15" s="1"/>
  <c r="AC35" i="15"/>
  <c r="AX35" i="15" s="1"/>
  <c r="G34" i="15"/>
  <c r="AF42" i="15"/>
  <c r="BA42" i="15" s="1"/>
  <c r="AJ35" i="15"/>
  <c r="AM35" i="15" s="1"/>
  <c r="T38" i="15"/>
  <c r="AQ38" i="15" s="1"/>
  <c r="Q46" i="15"/>
  <c r="AK46" i="15" s="1"/>
  <c r="S46" i="15"/>
  <c r="AP46" i="15" s="1"/>
  <c r="AH39" i="15"/>
  <c r="BC39" i="15" s="1"/>
  <c r="AF46" i="15"/>
  <c r="BA46" i="15" s="1"/>
  <c r="U45" i="15"/>
  <c r="AR45" i="15" s="1"/>
  <c r="AJ48" i="15"/>
  <c r="AM48" i="15" s="1"/>
  <c r="R35" i="15"/>
  <c r="AO35" i="15" s="1"/>
  <c r="AJ46" i="15"/>
  <c r="AM46" i="15" s="1"/>
  <c r="AH43" i="15"/>
  <c r="BC43" i="15" s="1"/>
  <c r="Y37" i="15"/>
  <c r="AV37" i="15" s="1"/>
  <c r="AG32" i="15"/>
  <c r="BB32" i="15" s="1"/>
  <c r="Z30" i="15"/>
  <c r="AN30" i="15" s="1"/>
  <c r="V33" i="15"/>
  <c r="AS33" i="15" s="1"/>
  <c r="X29" i="15"/>
  <c r="AU29" i="15" s="1"/>
  <c r="AI34" i="15"/>
  <c r="BD34" i="15" s="1"/>
  <c r="AF31" i="15"/>
  <c r="BA31" i="15" s="1"/>
  <c r="AG31" i="15"/>
  <c r="BB31" i="15" s="1"/>
  <c r="AG30" i="15"/>
  <c r="BB30" i="15" s="1"/>
  <c r="BR30" i="15" s="1"/>
  <c r="AC37" i="15"/>
  <c r="AX37" i="15" s="1"/>
  <c r="S31" i="15"/>
  <c r="AP31" i="15" s="1"/>
  <c r="AB31" i="15"/>
  <c r="AW31" i="15" s="1"/>
  <c r="W38" i="15"/>
  <c r="AT38" i="15" s="1"/>
  <c r="AE42" i="15"/>
  <c r="AZ42" i="15" s="1"/>
  <c r="V40" i="15"/>
  <c r="AS40" i="15" s="1"/>
  <c r="G41" i="15"/>
  <c r="AB42" i="15"/>
  <c r="AW42" i="15" s="1"/>
  <c r="S40" i="15"/>
  <c r="AP40" i="15" s="1"/>
  <c r="Z41" i="15"/>
  <c r="AN41" i="15" s="1"/>
  <c r="AI39" i="15"/>
  <c r="BD39" i="15" s="1"/>
  <c r="Z45" i="15"/>
  <c r="AN45" i="15" s="1"/>
  <c r="G48" i="15"/>
  <c r="AE48" i="15"/>
  <c r="AZ48" i="15" s="1"/>
  <c r="Z46" i="15"/>
  <c r="AN46" i="15" s="1"/>
  <c r="AF32" i="15"/>
  <c r="BA32" i="15" s="1"/>
  <c r="U34" i="15"/>
  <c r="AR34" i="15" s="1"/>
  <c r="AJ40" i="15"/>
  <c r="AM40" i="15" s="1"/>
  <c r="AJ41" i="15"/>
  <c r="AM41" i="15" s="1"/>
  <c r="W42" i="15"/>
  <c r="AT42" i="15" s="1"/>
  <c r="AF38" i="15"/>
  <c r="BA38" i="15" s="1"/>
  <c r="R38" i="15"/>
  <c r="AO38" i="15" s="1"/>
  <c r="AD46" i="15"/>
  <c r="AY46" i="15" s="1"/>
  <c r="AG29" i="15"/>
  <c r="BB29" i="15" s="1"/>
  <c r="S43" i="15"/>
  <c r="AP43" i="15" s="1"/>
  <c r="Q48" i="15"/>
  <c r="AK48" i="15" s="1"/>
  <c r="AJ29" i="15"/>
  <c r="AM29" i="15" s="1"/>
  <c r="AI45" i="15"/>
  <c r="BD45" i="15" s="1"/>
  <c r="W29" i="15"/>
  <c r="AT29" i="15" s="1"/>
  <c r="V36" i="15"/>
  <c r="AS36" i="15" s="1"/>
  <c r="V39" i="15"/>
  <c r="AS39" i="15" s="1"/>
  <c r="AC33" i="15"/>
  <c r="AX33" i="15" s="1"/>
  <c r="S33" i="15"/>
  <c r="AP33" i="15" s="1"/>
  <c r="AC31" i="15"/>
  <c r="AX31" i="15" s="1"/>
  <c r="AF29" i="15"/>
  <c r="BA29" i="15" s="1"/>
  <c r="X34" i="15"/>
  <c r="AU34" i="15" s="1"/>
  <c r="R30" i="15"/>
  <c r="AO30" i="15" s="1"/>
  <c r="BE30" i="15" s="1"/>
  <c r="S34" i="15"/>
  <c r="AP34" i="15" s="1"/>
  <c r="AG33" i="15"/>
  <c r="BB33" i="15" s="1"/>
  <c r="Z34" i="15"/>
  <c r="AN34" i="15" s="1"/>
  <c r="AD32" i="15"/>
  <c r="AY32" i="15" s="1"/>
  <c r="Q34" i="15"/>
  <c r="AK34" i="15" s="1"/>
  <c r="X31" i="15"/>
  <c r="AU31" i="15" s="1"/>
  <c r="U37" i="15"/>
  <c r="AR37" i="15" s="1"/>
  <c r="AH31" i="15"/>
  <c r="BC31" i="15" s="1"/>
  <c r="V34" i="15"/>
  <c r="AS34" i="15" s="1"/>
  <c r="AE38" i="15"/>
  <c r="AZ38" i="15" s="1"/>
  <c r="W35" i="15"/>
  <c r="AT35" i="15" s="1"/>
  <c r="AH40" i="15"/>
  <c r="BC40" i="15" s="1"/>
  <c r="W41" i="15"/>
  <c r="AT41" i="15" s="1"/>
  <c r="T42" i="15"/>
  <c r="AQ42" i="15" s="1"/>
  <c r="Z40" i="15"/>
  <c r="AN40" i="15" s="1"/>
  <c r="W36" i="15"/>
  <c r="AT36" i="15" s="1"/>
  <c r="Q40" i="15"/>
  <c r="AK40" i="15" s="1"/>
  <c r="AH45" i="15"/>
  <c r="BC45" i="15" s="1"/>
  <c r="V43" i="15"/>
  <c r="AS43" i="15" s="1"/>
  <c r="U48" i="15"/>
  <c r="AR48" i="15" s="1"/>
  <c r="X48" i="15"/>
  <c r="AU48" i="15" s="1"/>
  <c r="R40" i="15"/>
  <c r="AO40" i="15" s="1"/>
  <c r="Z32" i="15"/>
  <c r="AN32" i="15" s="1"/>
  <c r="AD34" i="15"/>
  <c r="AY34" i="15" s="1"/>
  <c r="Y40" i="15"/>
  <c r="AV40" i="15" s="1"/>
  <c r="AE41" i="15"/>
  <c r="AZ41" i="15" s="1"/>
  <c r="Z42" i="15"/>
  <c r="AN42" i="15" s="1"/>
  <c r="AH38" i="15"/>
  <c r="BC38" i="15" s="1"/>
  <c r="AC38" i="15"/>
  <c r="AX38" i="15" s="1"/>
  <c r="AE45" i="15"/>
  <c r="AZ45" i="15" s="1"/>
  <c r="V35" i="15"/>
  <c r="AS35" i="15" s="1"/>
  <c r="V29" i="15"/>
  <c r="AS29" i="15" s="1"/>
  <c r="S45" i="15"/>
  <c r="AP45" i="15" s="1"/>
  <c r="AH48" i="15"/>
  <c r="BC48" i="15" s="1"/>
  <c r="Y31" i="15"/>
  <c r="AV31" i="15" s="1"/>
  <c r="Q31" i="15"/>
  <c r="AK31" i="15" s="1"/>
  <c r="V46" i="15"/>
  <c r="AS46" i="15" s="1"/>
  <c r="T39" i="15"/>
  <c r="AQ39" i="15" s="1"/>
  <c r="G43" i="15"/>
  <c r="V48" i="15"/>
  <c r="AS48" i="15" s="1"/>
  <c r="G30" i="15"/>
  <c r="AI33" i="15"/>
  <c r="BD33" i="15" s="1"/>
  <c r="W32" i="15"/>
  <c r="AT32" i="15" s="1"/>
  <c r="Q30" i="15"/>
  <c r="AK30" i="15" s="1"/>
  <c r="W37" i="15"/>
  <c r="AT37" i="15" s="1"/>
  <c r="AB30" i="15"/>
  <c r="AW30" i="15" s="1"/>
  <c r="BM30" i="15" s="1"/>
  <c r="Y34" i="15"/>
  <c r="AV34" i="15" s="1"/>
  <c r="Y33" i="15"/>
  <c r="AV33" i="15" s="1"/>
  <c r="AI29" i="15"/>
  <c r="BD29" i="15" s="1"/>
  <c r="V32" i="15"/>
  <c r="AS32" i="15" s="1"/>
  <c r="AC34" i="15"/>
  <c r="AX34" i="15" s="1"/>
  <c r="AJ31" i="15"/>
  <c r="AM31" i="15" s="1"/>
  <c r="G37" i="15"/>
  <c r="Z31" i="15"/>
  <c r="AN31" i="15" s="1"/>
  <c r="AF34" i="15"/>
  <c r="BA34" i="15" s="1"/>
  <c r="Q39" i="15"/>
  <c r="AK39" i="15" s="1"/>
  <c r="R36" i="15"/>
  <c r="AO36" i="15" s="1"/>
  <c r="U41" i="15"/>
  <c r="AR41" i="15" s="1"/>
  <c r="AD42" i="15"/>
  <c r="AY42" i="15" s="1"/>
  <c r="AI42" i="15"/>
  <c r="BD42" i="15" s="1"/>
  <c r="AF40" i="15"/>
  <c r="BA40" i="15" s="1"/>
  <c r="AI41" i="15"/>
  <c r="BD41" i="15" s="1"/>
  <c r="AC39" i="15"/>
  <c r="AX39" i="15" s="1"/>
  <c r="AD40" i="15"/>
  <c r="AY40" i="15" s="1"/>
  <c r="T43" i="15"/>
  <c r="AQ43" i="15" s="1"/>
  <c r="G46" i="15"/>
  <c r="AD43" i="15"/>
  <c r="AY43" i="15" s="1"/>
  <c r="AC48" i="15"/>
  <c r="AX48" i="15" s="1"/>
  <c r="W43" i="15"/>
  <c r="AT43" i="15" s="1"/>
  <c r="Q43" i="15"/>
  <c r="AK43" i="15" s="1"/>
  <c r="R41" i="15"/>
  <c r="AO41" i="15" s="1"/>
  <c r="AB32" i="15"/>
  <c r="AW32" i="15" s="1"/>
  <c r="W34" i="15"/>
  <c r="AT34" i="15" s="1"/>
  <c r="AE40" i="15"/>
  <c r="AZ40" i="15" s="1"/>
  <c r="Y41" i="15"/>
  <c r="AV41" i="15" s="1"/>
  <c r="X42" i="15"/>
  <c r="AU42" i="15" s="1"/>
  <c r="V38" i="15"/>
  <c r="AS38" i="15" s="1"/>
  <c r="S38" i="15"/>
  <c r="AP38" i="15" s="1"/>
  <c r="AF35" i="15"/>
  <c r="BA35" i="15" s="1"/>
  <c r="Y35" i="15"/>
  <c r="AV35" i="15" s="1"/>
  <c r="AG45" i="15"/>
  <c r="BB45" i="15" s="1"/>
  <c r="X35" i="15"/>
  <c r="AU35" i="15" s="1"/>
  <c r="Q35" i="15"/>
  <c r="AK35" i="15" s="1"/>
  <c r="AI46" i="15"/>
  <c r="BD46" i="15" s="1"/>
  <c r="Z43" i="15"/>
  <c r="AN43" i="15" s="1"/>
  <c r="T48" i="15"/>
  <c r="AQ48" i="15" s="1"/>
  <c r="AE35" i="15"/>
  <c r="AZ35" i="15" s="1"/>
  <c r="Q32" i="15"/>
  <c r="AK32" i="15" s="1"/>
  <c r="V30" i="15"/>
  <c r="AS30" i="15" s="1"/>
  <c r="BI30" i="15" s="1"/>
  <c r="AJ32" i="15"/>
  <c r="AM32" i="15" s="1"/>
  <c r="U31" i="15"/>
  <c r="AR31" i="15" s="1"/>
  <c r="AH29" i="15"/>
  <c r="BC29" i="15" s="1"/>
  <c r="Q33" i="15"/>
  <c r="AK33" i="15" s="1"/>
  <c r="Q29" i="15"/>
  <c r="AK29" i="15" s="1"/>
  <c r="L29" i="15" s="1"/>
  <c r="AC32" i="15"/>
  <c r="AX32" i="15" s="1"/>
  <c r="AF30" i="15"/>
  <c r="BA30" i="15" s="1"/>
  <c r="BQ30" i="15" s="1"/>
  <c r="AH37" i="15"/>
  <c r="BC37" i="15" s="1"/>
  <c r="AJ37" i="15"/>
  <c r="AM37" i="15" s="1"/>
  <c r="R31" i="15"/>
  <c r="AO31" i="15" s="1"/>
  <c r="Q37" i="15"/>
  <c r="AK37" i="15" s="1"/>
  <c r="Z36" i="15"/>
  <c r="AN36" i="15" s="1"/>
  <c r="AH41" i="15"/>
  <c r="BC41" i="15" s="1"/>
  <c r="V42" i="15"/>
  <c r="AS42" i="15" s="1"/>
  <c r="S42" i="15"/>
  <c r="AP42" i="15" s="1"/>
  <c r="X40" i="15"/>
  <c r="AU40" i="15" s="1"/>
  <c r="S41" i="15"/>
  <c r="AP41" i="15" s="1"/>
  <c r="U39" i="15"/>
  <c r="AR39" i="15" s="1"/>
  <c r="Q41" i="15"/>
  <c r="AK41" i="15" s="1"/>
  <c r="AB43" i="15"/>
  <c r="AW43" i="15" s="1"/>
  <c r="U46" i="15"/>
  <c r="AR46" i="15" s="1"/>
  <c r="T45" i="15"/>
  <c r="AQ45" i="15" s="1"/>
  <c r="AE43" i="15"/>
  <c r="AZ43" i="15" s="1"/>
  <c r="Y43" i="15"/>
  <c r="AV43" i="15" s="1"/>
  <c r="AH34" i="15"/>
  <c r="BC34" i="15" s="1"/>
  <c r="AH46" i="15"/>
  <c r="BC46" i="15" s="1"/>
  <c r="AD36" i="15"/>
  <c r="AY36" i="15" s="1"/>
  <c r="AG43" i="15"/>
  <c r="BB43" i="15" s="1"/>
  <c r="T36" i="15"/>
  <c r="AQ36" i="15" s="1"/>
  <c r="X32" i="15"/>
  <c r="AU32" i="15" s="1"/>
  <c r="R34" i="15"/>
  <c r="AO34" i="15" s="1"/>
  <c r="AB40" i="15"/>
  <c r="AW40" i="15" s="1"/>
  <c r="AB41" i="15"/>
  <c r="AW41" i="15" s="1"/>
  <c r="R42" i="15"/>
  <c r="AO42" i="15" s="1"/>
  <c r="AG38" i="15"/>
  <c r="BB38" i="15" s="1"/>
  <c r="AB38" i="15"/>
  <c r="AW38" i="15" s="1"/>
  <c r="AI43" i="15"/>
  <c r="BD43" i="15" s="1"/>
  <c r="AE36" i="15"/>
  <c r="AZ36" i="15" s="1"/>
  <c r="AF48" i="15"/>
  <c r="BA48" i="15" s="1"/>
  <c r="AH35" i="15"/>
  <c r="BC35" i="15" s="1"/>
  <c r="T46" i="15"/>
  <c r="AQ46" i="15" s="1"/>
  <c r="AG35" i="15"/>
  <c r="BB35" i="15" s="1"/>
  <c r="Z35" i="15"/>
  <c r="AN35" i="15" s="1"/>
  <c r="AJ44" i="15"/>
  <c r="AM44" i="15" s="1"/>
  <c r="AH33" i="15"/>
  <c r="BC33" i="15" s="1"/>
  <c r="Z44" i="15"/>
  <c r="AN44" i="15" s="1"/>
  <c r="AE32" i="15"/>
  <c r="AZ32" i="15" s="1"/>
  <c r="S32" i="15"/>
  <c r="AP32" i="15" s="1"/>
  <c r="U33" i="15"/>
  <c r="AR33" i="15" s="1"/>
  <c r="T31" i="15"/>
  <c r="AQ31" i="15" s="1"/>
  <c r="AE31" i="15"/>
  <c r="AZ31" i="15" s="1"/>
  <c r="Y29" i="15"/>
  <c r="AV29" i="15" s="1"/>
  <c r="AF33" i="15"/>
  <c r="BA33" i="15" s="1"/>
  <c r="Z29" i="15"/>
  <c r="AN29" i="15" s="1"/>
  <c r="U32" i="15"/>
  <c r="AR32" i="15" s="1"/>
  <c r="X30" i="15"/>
  <c r="AU30" i="15" s="1"/>
  <c r="BK30" i="15" s="1"/>
  <c r="Z37" i="15"/>
  <c r="AN37" i="15" s="1"/>
  <c r="AB37" i="15"/>
  <c r="AW37" i="15" s="1"/>
  <c r="U29" i="15"/>
  <c r="AR29" i="15" s="1"/>
  <c r="AG37" i="15"/>
  <c r="BB37" i="15" s="1"/>
  <c r="T40" i="15"/>
  <c r="AQ40" i="15" s="1"/>
  <c r="AH36" i="15"/>
  <c r="BC36" i="15" s="1"/>
  <c r="S36" i="15"/>
  <c r="AP36" i="15" s="1"/>
  <c r="AC42" i="15"/>
  <c r="AX42" i="15" s="1"/>
  <c r="AG42" i="15"/>
  <c r="BB42" i="15" s="1"/>
  <c r="AC40" i="15"/>
  <c r="AX40" i="15" s="1"/>
  <c r="AF41" i="15"/>
  <c r="BA41" i="15" s="1"/>
  <c r="G39" i="15"/>
  <c r="AC41" i="15"/>
  <c r="AX41" i="15" s="1"/>
  <c r="AJ43" i="15"/>
  <c r="AM43" i="15" s="1"/>
  <c r="AC46" i="15"/>
  <c r="AX46" i="15" s="1"/>
  <c r="AB45" i="15"/>
  <c r="AW45" i="15" s="1"/>
  <c r="AD48" i="15"/>
  <c r="AY48" i="15" s="1"/>
  <c r="T44" i="15"/>
  <c r="AQ44" i="15" s="1"/>
  <c r="AI37" i="15"/>
  <c r="BD37" i="15" s="1"/>
  <c r="U38" i="15"/>
  <c r="AR38" i="15" s="1"/>
  <c r="Q38" i="15"/>
  <c r="AK38" i="15" s="1"/>
  <c r="AB48" i="15"/>
  <c r="AW48" i="15" s="1"/>
  <c r="AG46" i="15"/>
  <c r="BB46" i="15" s="1"/>
  <c r="AG34" i="15"/>
  <c r="BB34" i="15" s="1"/>
  <c r="G38" i="15"/>
  <c r="Z38" i="15"/>
  <c r="AN38" i="15" s="1"/>
  <c r="AC29" i="15"/>
  <c r="AX29" i="15" s="1"/>
  <c r="AB46" i="15"/>
  <c r="AW46" i="15" s="1"/>
  <c r="AJ36" i="15"/>
  <c r="AM36" i="15" s="1"/>
  <c r="Q45" i="15"/>
  <c r="AK45" i="15" s="1"/>
  <c r="U36" i="15"/>
  <c r="AR36" i="15" s="1"/>
  <c r="V45" i="15"/>
  <c r="AS45" i="15" s="1"/>
  <c r="AB35" i="15"/>
  <c r="AW35" i="15" s="1"/>
  <c r="X45" i="15"/>
  <c r="AU45" i="15" s="1"/>
  <c r="AE33" i="15"/>
  <c r="AZ33" i="15" s="1"/>
  <c r="AE29" i="15"/>
  <c r="AZ29" i="15" s="1"/>
  <c r="T32" i="15"/>
  <c r="AQ32" i="15" s="1"/>
  <c r="T29" i="15"/>
  <c r="AQ29" i="15" s="1"/>
  <c r="AB34" i="15"/>
  <c r="AW34" i="15" s="1"/>
  <c r="AC30" i="15"/>
  <c r="AX30" i="15" s="1"/>
  <c r="BN30" i="15" s="1"/>
  <c r="Z33" i="15"/>
  <c r="AN33" i="15" s="1"/>
  <c r="G31" i="15"/>
  <c r="Y32" i="15"/>
  <c r="AV32" i="15" s="1"/>
  <c r="W30" i="15"/>
  <c r="AT30" i="15" s="1"/>
  <c r="BJ30" i="15" s="1"/>
  <c r="AD37" i="15"/>
  <c r="AY37" i="15" s="1"/>
  <c r="AE37" i="15"/>
  <c r="AZ37" i="15" s="1"/>
  <c r="AI30" i="15"/>
  <c r="BD30" i="15" s="1"/>
  <c r="BT30" i="15" s="1"/>
  <c r="Y36" i="15"/>
  <c r="AV36" i="15" s="1"/>
  <c r="T41" i="15"/>
  <c r="AQ41" i="15" s="1"/>
  <c r="R39" i="15"/>
  <c r="AO39" i="15" s="1"/>
  <c r="S39" i="15"/>
  <c r="AP39" i="15" s="1"/>
  <c r="G42" i="15"/>
  <c r="Q42" i="15"/>
  <c r="AK42" i="15" s="1"/>
  <c r="G40" i="15"/>
  <c r="AD41" i="15"/>
  <c r="AY41" i="15" s="1"/>
  <c r="X39" i="15"/>
  <c r="AU39" i="15" s="1"/>
  <c r="AE44" i="15"/>
  <c r="AZ44" i="15" s="1"/>
  <c r="AI48" i="15"/>
  <c r="BD48" i="15" s="1"/>
  <c r="W46" i="15"/>
  <c r="AT46" i="15" s="1"/>
  <c r="AE34" i="15"/>
  <c r="AZ34" i="15" s="1"/>
  <c r="AC45" i="15"/>
  <c r="AX45" i="15" s="1"/>
  <c r="AD39" i="15"/>
  <c r="AY39" i="15" s="1"/>
  <c r="AI35" i="15"/>
  <c r="BD35" i="15" s="1"/>
  <c r="G45" i="15"/>
  <c r="R33" i="15"/>
  <c r="AO33" i="15" s="1"/>
  <c r="X33" i="15"/>
  <c r="AU33" i="15" s="1"/>
  <c r="R37" i="15"/>
  <c r="AO37" i="15" s="1"/>
  <c r="AG40" i="15"/>
  <c r="BB40" i="15" s="1"/>
  <c r="Y42" i="15"/>
  <c r="AV42" i="15" s="1"/>
  <c r="AF39" i="15"/>
  <c r="BA39" i="15" s="1"/>
  <c r="W45" i="15"/>
  <c r="AT45" i="15" s="1"/>
  <c r="R48" i="15"/>
  <c r="AO48" i="15" s="1"/>
  <c r="AD30" i="15"/>
  <c r="AY30" i="15" s="1"/>
  <c r="BO30" i="15" s="1"/>
  <c r="R29" i="15"/>
  <c r="AO29" i="15" s="1"/>
  <c r="W31" i="15"/>
  <c r="AT31" i="15" s="1"/>
  <c r="AB39" i="15"/>
  <c r="AW39" i="15" s="1"/>
  <c r="AE46" i="15"/>
  <c r="AZ46" i="15" s="1"/>
  <c r="AD45" i="15"/>
  <c r="AY45" i="15" s="1"/>
  <c r="U43" i="15"/>
  <c r="AR43" i="15" s="1"/>
  <c r="Y46" i="15"/>
  <c r="AV46" i="15" s="1"/>
  <c r="R32" i="15"/>
  <c r="AO32" i="15" s="1"/>
  <c r="AJ33" i="15"/>
  <c r="AM33" i="15" s="1"/>
  <c r="V37" i="15"/>
  <c r="AS37" i="15" s="1"/>
  <c r="AG41" i="15"/>
  <c r="BB41" i="15" s="1"/>
  <c r="AH42" i="15"/>
  <c r="BC42" i="15" s="1"/>
  <c r="Y39" i="15"/>
  <c r="AV39" i="15" s="1"/>
  <c r="X43" i="15"/>
  <c r="AU43" i="15" s="1"/>
  <c r="R46" i="15"/>
  <c r="AO46" i="15" s="1"/>
  <c r="S29" i="15"/>
  <c r="AP29" i="15" s="1"/>
  <c r="AH32" i="15"/>
  <c r="BC32" i="15" s="1"/>
  <c r="AB29" i="15"/>
  <c r="AW29" i="15" s="1"/>
  <c r="T30" i="15"/>
  <c r="AQ30" i="15" s="1"/>
  <c r="BG30" i="15" s="1"/>
  <c r="T37" i="15"/>
  <c r="AQ37" i="15" s="1"/>
  <c r="X38" i="15"/>
  <c r="AU38" i="15" s="1"/>
  <c r="AJ45" i="15"/>
  <c r="AM45" i="15" s="1"/>
  <c r="AF43" i="15"/>
  <c r="BA43" i="15" s="1"/>
  <c r="AD29" i="15"/>
  <c r="AY29" i="15" s="1"/>
  <c r="AI31" i="15"/>
  <c r="BD31" i="15" s="1"/>
  <c r="W48" i="15"/>
  <c r="AT48" i="15" s="1"/>
  <c r="AD33" i="15"/>
  <c r="AY33" i="15" s="1"/>
  <c r="Y44" i="15"/>
  <c r="AV44" i="15" s="1"/>
  <c r="AH30" i="15"/>
  <c r="BC30" i="15" s="1"/>
  <c r="BS30" i="15" s="1"/>
  <c r="AJ34" i="15"/>
  <c r="AM34" i="15" s="1"/>
  <c r="G32" i="15"/>
  <c r="Y30" i="15"/>
  <c r="AV30" i="15" s="1"/>
  <c r="BL30" i="15" s="1"/>
  <c r="AI36" i="15"/>
  <c r="BD36" i="15" s="1"/>
  <c r="U40" i="15"/>
  <c r="AR40" i="15" s="1"/>
  <c r="W44" i="15"/>
  <c r="AT44" i="15" s="1"/>
  <c r="AD38" i="15"/>
  <c r="AY38" i="15" s="1"/>
  <c r="X46" i="15"/>
  <c r="AU46" i="15" s="1"/>
  <c r="T34" i="15"/>
  <c r="AQ34" i="15" s="1"/>
  <c r="AI32" i="15"/>
  <c r="BD32" i="15" s="1"/>
  <c r="W40" i="15"/>
  <c r="AT40" i="15" s="1"/>
  <c r="AI40" i="15"/>
  <c r="BD40" i="15" s="1"/>
  <c r="R45" i="15"/>
  <c r="AO45" i="15" s="1"/>
  <c r="AJ38" i="15"/>
  <c r="AM38" i="15" s="1"/>
  <c r="R43" i="15"/>
  <c r="AO43" i="15" s="1"/>
  <c r="S35" i="15"/>
  <c r="AP35" i="15" s="1"/>
  <c r="AD31" i="15"/>
  <c r="AY31" i="15" s="1"/>
  <c r="S30" i="15"/>
  <c r="AP30" i="15" s="1"/>
  <c r="BF30" i="15" s="1"/>
  <c r="AE30" i="15"/>
  <c r="AZ30" i="15" s="1"/>
  <c r="BP30" i="15" s="1"/>
  <c r="Q36" i="15"/>
  <c r="AK36" i="15" s="1"/>
  <c r="U42" i="15"/>
  <c r="AR42" i="15" s="1"/>
  <c r="X41" i="15"/>
  <c r="AU41" i="15" s="1"/>
  <c r="S48" i="15"/>
  <c r="AP48" i="15" s="1"/>
  <c r="AF45" i="15"/>
  <c r="BA45" i="15" s="1"/>
  <c r="X36" i="15"/>
  <c r="AU36" i="15" s="1"/>
  <c r="G33" i="15"/>
  <c r="V31" i="15"/>
  <c r="AS31" i="15" s="1"/>
  <c r="U30" i="15"/>
  <c r="AR30" i="15" s="1"/>
  <c r="BH30" i="15" s="1"/>
  <c r="AG36" i="15"/>
  <c r="BB36" i="15" s="1"/>
  <c r="AJ42" i="15"/>
  <c r="AM42" i="15" s="1"/>
  <c r="V41" i="15"/>
  <c r="AS41" i="15" s="1"/>
  <c r="AB44" i="15"/>
  <c r="AW44" i="15" s="1"/>
  <c r="G17" i="26"/>
  <c r="F17" i="26"/>
  <c r="L30" i="15" l="1"/>
  <c r="L49" i="15" s="1"/>
  <c r="F12" i="15" s="1"/>
  <c r="BK29" i="15"/>
  <c r="BK49" i="15" s="1"/>
  <c r="E99" i="26" s="1"/>
  <c r="AU49" i="15"/>
  <c r="BR29" i="15"/>
  <c r="BR49" i="15" s="1"/>
  <c r="BB49" i="15"/>
  <c r="AN49" i="15"/>
  <c r="BI29" i="15"/>
  <c r="BI49" i="15" s="1"/>
  <c r="AS49" i="15"/>
  <c r="BQ29" i="15"/>
  <c r="BQ49" i="15" s="1"/>
  <c r="BA49" i="15"/>
  <c r="BJ29" i="15"/>
  <c r="BJ49" i="15" s="1"/>
  <c r="AT49" i="15"/>
  <c r="AL49" i="15"/>
  <c r="BE29" i="15"/>
  <c r="BE49" i="15" s="1"/>
  <c r="AO49" i="15"/>
  <c r="BM29" i="15"/>
  <c r="BM49" i="15" s="1"/>
  <c r="AW49" i="15"/>
  <c r="BG29" i="15"/>
  <c r="BG49" i="15" s="1"/>
  <c r="AQ49" i="15"/>
  <c r="BN29" i="15"/>
  <c r="BN49" i="15" s="1"/>
  <c r="AX49" i="15"/>
  <c r="BL29" i="15"/>
  <c r="BL49" i="15" s="1"/>
  <c r="AV49" i="15"/>
  <c r="BO29" i="15"/>
  <c r="BO49" i="15" s="1"/>
  <c r="AY49" i="15"/>
  <c r="BF29" i="15"/>
  <c r="BF49" i="15" s="1"/>
  <c r="AP49" i="15"/>
  <c r="BH29" i="15"/>
  <c r="BH49" i="15" s="1"/>
  <c r="AR49" i="15"/>
  <c r="AK49" i="15"/>
  <c r="AM49" i="15"/>
  <c r="BP29" i="15"/>
  <c r="BP49" i="15" s="1"/>
  <c r="AZ49" i="15"/>
  <c r="BT29" i="15"/>
  <c r="BT49" i="15" s="1"/>
  <c r="BD49" i="15"/>
  <c r="BS29" i="15"/>
  <c r="BS49" i="15" s="1"/>
  <c r="BC49" i="15"/>
  <c r="AE217" i="26"/>
  <c r="D217" i="26"/>
  <c r="AG217" i="26"/>
  <c r="F217" i="26"/>
  <c r="AG149" i="26"/>
  <c r="AG157" i="26" s="1"/>
  <c r="AG163" i="26" s="1"/>
  <c r="AG212" i="26"/>
  <c r="F212" i="26"/>
  <c r="D215" i="26"/>
  <c r="AE215" i="26"/>
  <c r="F211" i="26"/>
  <c r="AG211" i="26"/>
  <c r="AE214" i="26"/>
  <c r="D214" i="26"/>
  <c r="AE210" i="26"/>
  <c r="D210" i="26"/>
  <c r="AG216" i="26"/>
  <c r="F216" i="26"/>
  <c r="D212" i="26"/>
  <c r="AE212" i="26"/>
  <c r="F213" i="26"/>
  <c r="AG213" i="26"/>
  <c r="F215" i="26"/>
  <c r="AG215" i="26"/>
  <c r="D216" i="26"/>
  <c r="AE216" i="26"/>
  <c r="D213" i="26"/>
  <c r="AE213" i="26"/>
  <c r="AG214" i="26"/>
  <c r="F214" i="26"/>
  <c r="AE199" i="26"/>
  <c r="AG199" i="26" s="1"/>
  <c r="D199" i="26"/>
  <c r="F199" i="26" s="1"/>
  <c r="D211" i="26"/>
  <c r="AE211" i="26"/>
  <c r="AG210" i="26"/>
  <c r="F210" i="26"/>
  <c r="AF149" i="26"/>
  <c r="AE149" i="26"/>
  <c r="AH217" i="26" l="1"/>
  <c r="G217" i="26"/>
  <c r="AF217" i="26"/>
  <c r="E217" i="26"/>
  <c r="F100" i="26"/>
  <c r="AG100" i="26"/>
  <c r="D100" i="26"/>
  <c r="AE100" i="26"/>
  <c r="AE187" i="26"/>
  <c r="G93" i="26"/>
  <c r="G210" i="26"/>
  <c r="AH210" i="26"/>
  <c r="E213" i="26"/>
  <c r="AF213" i="26"/>
  <c r="AE177" i="26"/>
  <c r="AE157" i="26"/>
  <c r="AH149" i="26"/>
  <c r="AF99" i="26"/>
  <c r="AF216" i="26"/>
  <c r="E216" i="26"/>
  <c r="AF214" i="26"/>
  <c r="E214" i="26"/>
  <c r="AH98" i="26"/>
  <c r="G215" i="26"/>
  <c r="AH215" i="26"/>
  <c r="AF210" i="26"/>
  <c r="E210" i="26"/>
  <c r="E211" i="26"/>
  <c r="AF211" i="26"/>
  <c r="G94" i="26"/>
  <c r="G211" i="26"/>
  <c r="AH211" i="26"/>
  <c r="AE183" i="26"/>
  <c r="AF157" i="26"/>
  <c r="AF163" i="26" s="1"/>
  <c r="G96" i="26"/>
  <c r="AH213" i="26"/>
  <c r="G213" i="26"/>
  <c r="AF212" i="26"/>
  <c r="E212" i="26"/>
  <c r="AF215" i="26"/>
  <c r="E215" i="26"/>
  <c r="AH97" i="26"/>
  <c r="AH214" i="26"/>
  <c r="G214" i="26"/>
  <c r="AH99" i="26"/>
  <c r="AH216" i="26"/>
  <c r="G216" i="26"/>
  <c r="G95" i="26"/>
  <c r="AH212" i="26"/>
  <c r="G212" i="26"/>
  <c r="AG94" i="26"/>
  <c r="F94" i="26"/>
  <c r="AG97" i="26"/>
  <c r="F97" i="26"/>
  <c r="AG98" i="26"/>
  <c r="F98" i="26"/>
  <c r="D99" i="26"/>
  <c r="AE99" i="26"/>
  <c r="F99" i="26"/>
  <c r="AG99" i="26"/>
  <c r="AG96" i="26"/>
  <c r="F96" i="26"/>
  <c r="F93" i="26"/>
  <c r="AG93" i="26"/>
  <c r="F95" i="26"/>
  <c r="AG95" i="26"/>
  <c r="AE79" i="26"/>
  <c r="D79" i="26"/>
  <c r="F79" i="26" s="1"/>
  <c r="AH93" i="26"/>
  <c r="D149" i="26"/>
  <c r="D177" i="26" s="1"/>
  <c r="F149" i="26"/>
  <c r="D187" i="26" s="1"/>
  <c r="E149" i="26"/>
  <c r="D183" i="26" s="1"/>
  <c r="AF29" i="26"/>
  <c r="AE63" i="26" s="1"/>
  <c r="AG187" i="26" l="1"/>
  <c r="F177" i="26"/>
  <c r="AG63" i="26"/>
  <c r="E100" i="26"/>
  <c r="AF100" i="26"/>
  <c r="G100" i="26"/>
  <c r="AH100" i="26"/>
  <c r="AE193" i="26"/>
  <c r="AG193" i="26" s="1"/>
  <c r="AH94" i="26"/>
  <c r="AH96" i="26"/>
  <c r="G97" i="26"/>
  <c r="AH95" i="26"/>
  <c r="G99" i="26"/>
  <c r="G98" i="26"/>
  <c r="AH157" i="26"/>
  <c r="AE136" i="26" s="1"/>
  <c r="AE163" i="26"/>
  <c r="AH163" i="26" s="1"/>
  <c r="AE180" i="26"/>
  <c r="AG177" i="26"/>
  <c r="AG183" i="26"/>
  <c r="AE184" i="26"/>
  <c r="AG184" i="26" s="1"/>
  <c r="E96" i="26"/>
  <c r="AF96" i="26"/>
  <c r="AG79" i="26"/>
  <c r="AE98" i="26"/>
  <c r="D98" i="26"/>
  <c r="AE96" i="26"/>
  <c r="D96" i="26"/>
  <c r="AE95" i="26"/>
  <c r="D95" i="26"/>
  <c r="D94" i="26"/>
  <c r="AE94" i="26"/>
  <c r="E95" i="26"/>
  <c r="AF95" i="26"/>
  <c r="E97" i="26"/>
  <c r="AF97" i="26"/>
  <c r="AF98" i="26"/>
  <c r="E98" i="26"/>
  <c r="E93" i="26"/>
  <c r="AF93" i="26"/>
  <c r="AF94" i="26"/>
  <c r="E94" i="26"/>
  <c r="AE97" i="26"/>
  <c r="D97" i="26"/>
  <c r="D93" i="26"/>
  <c r="AE93" i="26"/>
  <c r="F29" i="26"/>
  <c r="D67" i="26" s="1"/>
  <c r="AG29" i="26"/>
  <c r="AE67" i="26" s="1"/>
  <c r="D29" i="26"/>
  <c r="AE29" i="26"/>
  <c r="AE57" i="26" s="1"/>
  <c r="E29" i="26"/>
  <c r="D63" i="26" s="1"/>
  <c r="AF37" i="26"/>
  <c r="AF43" i="26" s="1"/>
  <c r="F183" i="26"/>
  <c r="F187" i="26"/>
  <c r="D180" i="26"/>
  <c r="F180" i="26" s="1"/>
  <c r="D157" i="26"/>
  <c r="F157" i="26"/>
  <c r="F186" i="26" s="1"/>
  <c r="E157" i="26"/>
  <c r="G149" i="26"/>
  <c r="AI151" i="26" l="1"/>
  <c r="AI153" i="26"/>
  <c r="AI152" i="26"/>
  <c r="AI150" i="26"/>
  <c r="AI156" i="26"/>
  <c r="AI149" i="26"/>
  <c r="AI154" i="26"/>
  <c r="AI155" i="26"/>
  <c r="AI160" i="26"/>
  <c r="AI158" i="26"/>
  <c r="AI162" i="26" s="1"/>
  <c r="AI161" i="26"/>
  <c r="AI159" i="26"/>
  <c r="AG57" i="26"/>
  <c r="D57" i="26"/>
  <c r="F57" i="26" s="1"/>
  <c r="G29" i="26"/>
  <c r="AG67" i="26"/>
  <c r="AG180" i="26"/>
  <c r="AE195" i="26"/>
  <c r="AE138" i="26"/>
  <c r="AF136" i="26"/>
  <c r="AH136" i="26"/>
  <c r="AG136" i="26"/>
  <c r="D37" i="26"/>
  <c r="E37" i="26"/>
  <c r="F63" i="26"/>
  <c r="AE37" i="26"/>
  <c r="AE43" i="26" s="1"/>
  <c r="AH29" i="26"/>
  <c r="AE64" i="26"/>
  <c r="AG64" i="26" s="1"/>
  <c r="D184" i="26"/>
  <c r="F184" i="26" s="1"/>
  <c r="D193" i="26"/>
  <c r="F193" i="26" s="1"/>
  <c r="AI157" i="26" l="1"/>
  <c r="AI163" i="26" s="1"/>
  <c r="AG195" i="26"/>
  <c r="AH188" i="26"/>
  <c r="AH191" i="26"/>
  <c r="AH192" i="26"/>
  <c r="AH189" i="26"/>
  <c r="AH186" i="26"/>
  <c r="AH190" i="26"/>
  <c r="AH178" i="26"/>
  <c r="AH182" i="26"/>
  <c r="AH179" i="26"/>
  <c r="AH177" i="26"/>
  <c r="AH183" i="26"/>
  <c r="AH187" i="26"/>
  <c r="AF138" i="26"/>
  <c r="AH138" i="26"/>
  <c r="AG138" i="26"/>
  <c r="D60" i="26"/>
  <c r="F60" i="26" s="1"/>
  <c r="F67" i="26"/>
  <c r="D64" i="26"/>
  <c r="F64" i="26" s="1"/>
  <c r="D195" i="26"/>
  <c r="D43" i="26"/>
  <c r="E43" i="26"/>
  <c r="AI188" i="26" l="1"/>
  <c r="AI192" i="26"/>
  <c r="AI191" i="26"/>
  <c r="AI182" i="26"/>
  <c r="AI190" i="26"/>
  <c r="AI178" i="26"/>
  <c r="AI189" i="26"/>
  <c r="AI179" i="26"/>
  <c r="AI186" i="26"/>
  <c r="AI183" i="26"/>
  <c r="AI177" i="26"/>
  <c r="AI187" i="26"/>
  <c r="AH193" i="26"/>
  <c r="AH180" i="26"/>
  <c r="AH195" i="26" s="1"/>
  <c r="AH184" i="26"/>
  <c r="F195" i="26"/>
  <c r="H189" i="26" s="1"/>
  <c r="G189" i="26"/>
  <c r="G192" i="26"/>
  <c r="G179" i="26"/>
  <c r="G188" i="26"/>
  <c r="G178" i="26"/>
  <c r="G191" i="26"/>
  <c r="G190" i="26"/>
  <c r="G182" i="26"/>
  <c r="G186" i="26"/>
  <c r="G187" i="26"/>
  <c r="G177" i="26"/>
  <c r="G183" i="26"/>
  <c r="D163" i="26"/>
  <c r="F163" i="26"/>
  <c r="G157" i="26"/>
  <c r="AI193" i="26" l="1"/>
  <c r="AI184" i="26"/>
  <c r="AI180" i="26"/>
  <c r="H192" i="26"/>
  <c r="G180" i="26"/>
  <c r="G193" i="26"/>
  <c r="G184" i="26"/>
  <c r="H187" i="26"/>
  <c r="H179" i="26"/>
  <c r="H183" i="26"/>
  <c r="H186" i="26"/>
  <c r="H177" i="26"/>
  <c r="H190" i="26"/>
  <c r="H188" i="26"/>
  <c r="H191" i="26"/>
  <c r="H182" i="26"/>
  <c r="H178" i="26"/>
  <c r="D136" i="26"/>
  <c r="E136" i="26" s="1"/>
  <c r="E163" i="26"/>
  <c r="G163" i="26" s="1"/>
  <c r="G162" i="26"/>
  <c r="AI195" i="26" l="1"/>
  <c r="H193" i="26"/>
  <c r="H184" i="26"/>
  <c r="H180" i="26"/>
  <c r="G195" i="26"/>
  <c r="H159" i="26"/>
  <c r="H150" i="26"/>
  <c r="H158" i="26"/>
  <c r="H162" i="26" s="1"/>
  <c r="H156" i="26"/>
  <c r="H155" i="26"/>
  <c r="H154" i="26"/>
  <c r="H153" i="26"/>
  <c r="H160" i="26"/>
  <c r="H161" i="26"/>
  <c r="H152" i="26"/>
  <c r="H151" i="26"/>
  <c r="H149" i="26"/>
  <c r="G136" i="26"/>
  <c r="D137" i="26"/>
  <c r="F136" i="26"/>
  <c r="H195" i="26" l="1"/>
  <c r="H157" i="26"/>
  <c r="H163" i="26" s="1"/>
  <c r="G137" i="26"/>
  <c r="D138" i="26"/>
  <c r="E138" i="26" s="1"/>
  <c r="F137" i="26"/>
  <c r="E137" i="26"/>
  <c r="G138" i="26" l="1"/>
  <c r="F138" i="26"/>
  <c r="W157" i="15" l="1"/>
  <c r="L138" i="15"/>
  <c r="L145" i="15"/>
  <c r="L139" i="15"/>
  <c r="L157" i="15" l="1"/>
  <c r="F16" i="15" s="1"/>
  <c r="M157" i="15"/>
  <c r="AG33" i="26"/>
  <c r="AE70" i="26" s="1"/>
  <c r="F33" i="26"/>
  <c r="D70" i="26" s="1"/>
  <c r="AG70" i="26" l="1"/>
  <c r="F37" i="26"/>
  <c r="G33" i="26"/>
  <c r="AG37" i="26"/>
  <c r="AG43" i="26" s="1"/>
  <c r="AH43" i="26" s="1"/>
  <c r="AH33" i="26"/>
  <c r="AI34" i="26" l="1"/>
  <c r="AI29" i="26"/>
  <c r="AI33" i="26"/>
  <c r="AI30" i="26"/>
  <c r="AI32" i="26"/>
  <c r="AI36" i="26"/>
  <c r="AI31" i="26"/>
  <c r="AI35" i="26"/>
  <c r="AI39" i="26"/>
  <c r="AI40" i="26"/>
  <c r="AI41" i="26"/>
  <c r="AI38" i="26"/>
  <c r="AE73" i="26"/>
  <c r="AG73" i="26" s="1"/>
  <c r="AH37" i="26"/>
  <c r="AE16" i="26" s="1"/>
  <c r="C22" i="30" s="1"/>
  <c r="F70" i="26"/>
  <c r="D73" i="26"/>
  <c r="F43" i="26"/>
  <c r="G43" i="26" s="1"/>
  <c r="H29" i="26" s="1"/>
  <c r="G37" i="26"/>
  <c r="AI42" i="26" l="1"/>
  <c r="H30" i="26"/>
  <c r="AI37" i="26"/>
  <c r="H38" i="26"/>
  <c r="H39" i="26"/>
  <c r="H40" i="26"/>
  <c r="H41" i="26"/>
  <c r="H36" i="26"/>
  <c r="H31" i="26"/>
  <c r="H32" i="26"/>
  <c r="H33" i="26"/>
  <c r="H34" i="26"/>
  <c r="H35" i="26"/>
  <c r="AF16" i="26"/>
  <c r="AH16" i="26"/>
  <c r="AE18" i="26"/>
  <c r="AG16" i="26"/>
  <c r="D75" i="26"/>
  <c r="G70" i="26" s="1"/>
  <c r="F73" i="26"/>
  <c r="D16" i="26"/>
  <c r="E16" i="26" s="1"/>
  <c r="AI43" i="26" l="1"/>
  <c r="H37" i="26"/>
  <c r="H42" i="26"/>
  <c r="F75" i="26"/>
  <c r="G69" i="26"/>
  <c r="G72" i="26"/>
  <c r="G66" i="26"/>
  <c r="G59" i="26"/>
  <c r="G68" i="26"/>
  <c r="G58" i="26"/>
  <c r="G71" i="26"/>
  <c r="G62" i="26"/>
  <c r="G67" i="26"/>
  <c r="G63" i="26"/>
  <c r="G57" i="26"/>
  <c r="AF18" i="26"/>
  <c r="AH18" i="26"/>
  <c r="AG18" i="26"/>
  <c r="G16" i="26"/>
  <c r="F16" i="26"/>
  <c r="D18" i="26"/>
  <c r="E18" i="26" s="1"/>
  <c r="C20" i="30"/>
  <c r="AE60" i="26"/>
  <c r="G60" i="26" l="1"/>
  <c r="H72" i="26"/>
  <c r="H69" i="26"/>
  <c r="H57" i="26"/>
  <c r="H43" i="26"/>
  <c r="H62" i="26"/>
  <c r="H71" i="26"/>
  <c r="H59" i="26"/>
  <c r="H68" i="26"/>
  <c r="H70" i="26"/>
  <c r="H58" i="26"/>
  <c r="H67" i="26"/>
  <c r="H66" i="26"/>
  <c r="H63" i="26"/>
  <c r="G73" i="26"/>
  <c r="G64" i="26"/>
  <c r="AE75" i="26"/>
  <c r="AG60" i="26"/>
  <c r="G18" i="26"/>
  <c r="F18" i="26"/>
  <c r="G75" i="26" l="1"/>
  <c r="H64" i="26"/>
  <c r="H60" i="26"/>
  <c r="H73" i="26"/>
  <c r="AG75" i="26"/>
  <c r="AH72" i="26"/>
  <c r="AH69" i="26"/>
  <c r="AH62" i="26"/>
  <c r="AH66" i="26"/>
  <c r="AH59" i="26"/>
  <c r="AH58" i="26"/>
  <c r="AH68" i="26"/>
  <c r="AH71" i="26"/>
  <c r="AH63" i="26"/>
  <c r="AH57" i="26"/>
  <c r="AH67" i="26"/>
  <c r="AH70" i="26"/>
  <c r="AH64" i="26" l="1"/>
  <c r="AI69" i="26"/>
  <c r="AI72" i="26"/>
  <c r="AI62" i="26"/>
  <c r="AI58" i="26"/>
  <c r="AI71" i="26"/>
  <c r="AI68" i="26"/>
  <c r="AI59" i="26"/>
  <c r="AI66" i="26"/>
  <c r="AI63" i="26"/>
  <c r="AI57" i="26"/>
  <c r="AI67" i="26"/>
  <c r="AI70" i="26"/>
  <c r="H75" i="26"/>
  <c r="AH73" i="26"/>
  <c r="AH60" i="26"/>
  <c r="AH75" i="26" l="1"/>
  <c r="AI64" i="26"/>
  <c r="AI73" i="26"/>
  <c r="AI60" i="26"/>
  <c r="AI75"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Georg Smolka</author>
  </authors>
  <commentList>
    <comment ref="AA29" authorId="0" shapeId="0" xr:uid="{6AF88959-7242-4882-93ED-A1879D35F821}">
      <text>
        <r>
          <rPr>
            <sz val="9"/>
            <color indexed="81"/>
            <rFont val="Segoe UI"/>
            <family val="2"/>
          </rPr>
          <t xml:space="preserve">Sonderfallberechnung: Wenn Fernwärme Eigenfaktor angegeben wird mit diesem gerechnet, sonst mit Fernwärme (fossiler Mix DE)
</t>
        </r>
      </text>
    </comment>
    <comment ref="AB55" authorId="0" shapeId="0" xr:uid="{17A1A91C-EB82-448E-889C-0D3073080F39}">
      <text>
        <r>
          <rPr>
            <sz val="9"/>
            <color indexed="81"/>
            <rFont val="Segoe UI"/>
            <family val="2"/>
          </rPr>
          <t>Sonderfallberechnung: Wenn Scope 2 Vetragsfaktor angegeben wird mit diesem gerechnet, sonst mit dem durchschnittlichen Strommix für Deutschland</t>
        </r>
      </text>
    </comment>
    <comment ref="AB109" authorId="0" shapeId="0" xr:uid="{EFC42A5A-0417-4C12-944B-43E92E2447D5}">
      <text>
        <r>
          <rPr>
            <sz val="9"/>
            <color indexed="81"/>
            <rFont val="Segoe UI"/>
            <family val="2"/>
          </rPr>
          <t>Sonderfallberechnung: Wenn Scope 2 Vetragsfaktor angegeben wird mit diesem gerechnet, sonst mit dem durchschnittlichen Strommix für Deutschland</t>
        </r>
      </text>
    </comment>
    <comment ref="S137" authorId="0" shapeId="0" xr:uid="{26EEDEB6-7FF6-41BC-93F4-052CD8E4AC5C}">
      <text>
        <r>
          <rPr>
            <sz val="9"/>
            <color indexed="81"/>
            <rFont val="Segoe UI"/>
            <family val="2"/>
          </rPr>
          <t>Sonderberechnung: Wenn PKW-Auslastung angegeben, dann wird der Emissionsfaktor entsprechend angepasst</t>
        </r>
      </text>
    </comment>
    <comment ref="S164" authorId="0" shapeId="0" xr:uid="{C67FFEFA-3424-456C-A24A-DE0D94E2EFE6}">
      <text>
        <r>
          <rPr>
            <sz val="9"/>
            <color indexed="81"/>
            <rFont val="Segoe UI"/>
            <family val="2"/>
          </rPr>
          <t>Sonderberechnung: Wenn PKW-Auslastung angegeben, dann wird der Emissionsfaktor entsrechend angepasst</t>
        </r>
      </text>
    </comment>
    <comment ref="S191" authorId="0" shapeId="0" xr:uid="{1E649586-28BE-4126-AE9E-A6E03230253B}">
      <text>
        <r>
          <rPr>
            <sz val="9"/>
            <color indexed="81"/>
            <rFont val="Segoe UI"/>
            <family val="2"/>
          </rPr>
          <t>Sonderberechnung: Wenn PKW-Auslastung angegeben, dann wird der Emissionsfaktor entsrechend angepasst</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<sst xmlns="http://schemas.openxmlformats.org/spreadsheetml/2006/main" count="5207" uniqueCount="824">
  <si>
    <t>Thema</t>
  </si>
  <si>
    <t>Bezeichnung</t>
  </si>
  <si>
    <t>Quelle Scope 1</t>
  </si>
  <si>
    <t>Quelle Scope 2</t>
  </si>
  <si>
    <t>Quelle Scope 3</t>
  </si>
  <si>
    <t>Daten zur Einrichtung</t>
  </si>
  <si>
    <t>Daten zur CO2-Bilanz</t>
  </si>
  <si>
    <t>Bilanzjahr</t>
  </si>
  <si>
    <t>Name 1</t>
  </si>
  <si>
    <t>Name 2</t>
  </si>
  <si>
    <t>Name 3</t>
  </si>
  <si>
    <t>Wärme</t>
  </si>
  <si>
    <t>Fuhrpark</t>
  </si>
  <si>
    <t>Kühl- und Kältemittel</t>
  </si>
  <si>
    <t>Sektor</t>
  </si>
  <si>
    <t>Strom</t>
  </si>
  <si>
    <t>Mobilität</t>
  </si>
  <si>
    <t>Einkauf</t>
  </si>
  <si>
    <t>Geschäftsreisen</t>
  </si>
  <si>
    <t>Relevante Stoffströme</t>
  </si>
  <si>
    <t>IT-Dienstleistungen</t>
  </si>
  <si>
    <t>Kommentar</t>
  </si>
  <si>
    <t>Holzpellets</t>
  </si>
  <si>
    <t>Solarthermie</t>
  </si>
  <si>
    <t>kWh</t>
  </si>
  <si>
    <t>L</t>
  </si>
  <si>
    <t>kg</t>
  </si>
  <si>
    <t>Benzin</t>
  </si>
  <si>
    <t>Diesel</t>
  </si>
  <si>
    <t>Autogas (LPG)</t>
  </si>
  <si>
    <t>Erdgas (CNG)</t>
  </si>
  <si>
    <t>Reisebus</t>
  </si>
  <si>
    <t>ÖPNV</t>
  </si>
  <si>
    <t>Bahn Fernverkehr</t>
  </si>
  <si>
    <t>Pkm</t>
  </si>
  <si>
    <t>tkm</t>
  </si>
  <si>
    <t>Stück</t>
  </si>
  <si>
    <t>Cloud Storage</t>
  </si>
  <si>
    <t>GB</t>
  </si>
  <si>
    <t>Theater-, Opern- und Konzerthäuser</t>
  </si>
  <si>
    <t>Museen, Galerien und Ausstellungsbetriebe</t>
  </si>
  <si>
    <t>Bibliotheken, Archive</t>
  </si>
  <si>
    <t>Veranstaltungshäuser und Kinos</t>
  </si>
  <si>
    <t>Sparten</t>
  </si>
  <si>
    <t>Bitte auswählen</t>
  </si>
  <si>
    <t>Sonstiges</t>
  </si>
  <si>
    <t>Sektor_Thema</t>
  </si>
  <si>
    <t>IT_Dienstleistungen</t>
  </si>
  <si>
    <t>Relevante_Stoffströme</t>
  </si>
  <si>
    <t>Kühl_und_Kältemittel</t>
  </si>
  <si>
    <t>niedrig (Schätzung)</t>
  </si>
  <si>
    <t>mittel (Berechnung)</t>
  </si>
  <si>
    <t>hoch (Messung)</t>
  </si>
  <si>
    <t>Erfassungseinheit</t>
  </si>
  <si>
    <t>Straße: LKW &lt;7,5 t</t>
  </si>
  <si>
    <t>Schiene: Zug mit Elektrotraktion</t>
  </si>
  <si>
    <t>Schiene: Zug mit Dieseltraktion</t>
  </si>
  <si>
    <t>See: Containerschiff</t>
  </si>
  <si>
    <t>See: Massengutfrachter</t>
  </si>
  <si>
    <t>Luft: Frachtflugzeug</t>
  </si>
  <si>
    <t>Luft: Belly-Fracht</t>
  </si>
  <si>
    <t>Straße: LKW 7,5-12 t</t>
  </si>
  <si>
    <t>Straße: LKW 12-24 t</t>
  </si>
  <si>
    <t>kg CO2e</t>
  </si>
  <si>
    <t>Fernwärme (Wert Energieversorger)</t>
  </si>
  <si>
    <t>Emissionsquelle/Aktivität (Dropdown)</t>
  </si>
  <si>
    <t>Wert 
(Zahl)</t>
  </si>
  <si>
    <t>Liegenschaften</t>
  </si>
  <si>
    <t>Pendeln der Mitarbeitenden</t>
  </si>
  <si>
    <t>Anreise der Besuchenden</t>
  </si>
  <si>
    <t>Pendeln_Mitarbeitende</t>
  </si>
  <si>
    <t>Warentransporte</t>
  </si>
  <si>
    <t>Anreise_Besuchende</t>
  </si>
  <si>
    <t>Thema_</t>
  </si>
  <si>
    <t>Notiz - Datenquelle 
(Text)</t>
  </si>
  <si>
    <t>Notiz - Kommentar 
(Text)</t>
  </si>
  <si>
    <t>Heizöl (in kWh)</t>
  </si>
  <si>
    <t>Heizöl (in L)</t>
  </si>
  <si>
    <t>Einheit 
(vorausgefüllt)</t>
  </si>
  <si>
    <t>Hinweis: Um weitere Emissionsquellen/Aktivitäten hinzuzufügen, markieren Sie die gesamte letzte Tabellenzeile und fügen Sie weitere Zeilen ein (Menüband: Start -&gt; Zellen -&gt; Einfügen)</t>
  </si>
  <si>
    <t>Zurück zur Übersicht</t>
  </si>
  <si>
    <t>Hinweis:</t>
  </si>
  <si>
    <t>zu Fuß/Fahrrad</t>
  </si>
  <si>
    <t>Abfall</t>
  </si>
  <si>
    <t>Kat. 1</t>
  </si>
  <si>
    <t>Kat. 2</t>
  </si>
  <si>
    <t>Kat. 3</t>
  </si>
  <si>
    <t>Kat. 4</t>
  </si>
  <si>
    <t>Kat. 5</t>
  </si>
  <si>
    <t>Kat. 6</t>
  </si>
  <si>
    <t>Kat. 7</t>
  </si>
  <si>
    <t>Kat. 9</t>
  </si>
  <si>
    <t>Emissionen aus stationärer Verbrennung</t>
  </si>
  <si>
    <t>Emissionen aus mobiler Verbrennung</t>
  </si>
  <si>
    <t>Emissionen aus Verflüchtigungen</t>
  </si>
  <si>
    <t>Emissionen aus zugekauftem und verbrauchtem Strom</t>
  </si>
  <si>
    <t>Emissionen aus weiterer zugekaufter Energie (Wärme, Kälte, Dampf, Wasser)</t>
  </si>
  <si>
    <t>Eingekaufte Waren und Dienstleistungen</t>
  </si>
  <si>
    <t>Brennstoff und energiebezogene Emissionen (nicht in Scope 1 und 2 enthalten)</t>
  </si>
  <si>
    <t>Transport und Verteilung (vorgelagert)</t>
  </si>
  <si>
    <t>Transport und Verteilung (nachgelagert)</t>
  </si>
  <si>
    <t>Scope 1: Direkte Emissionen</t>
  </si>
  <si>
    <t>Scope 2: Indirekte Emissionen aus bereitgestellter Energie</t>
  </si>
  <si>
    <t>Scope 3: Weitere indirekte Emissionen</t>
  </si>
  <si>
    <t>Gesamtergebnis</t>
  </si>
  <si>
    <t>Strom Eigenerzeugung (Photovoltaik)</t>
  </si>
  <si>
    <t>Lfd. Nr.</t>
  </si>
  <si>
    <t>Hintergrund und Ziel</t>
  </si>
  <si>
    <t>Versionsverlauf</t>
  </si>
  <si>
    <t>Hotel (Durchschnitt, Deutschland)</t>
  </si>
  <si>
    <t>Hotel (Durchschnitt, International)</t>
  </si>
  <si>
    <t>Emissionsfaktoren Stoffströme</t>
  </si>
  <si>
    <t>Emissionsfaktoren Allgemein</t>
  </si>
  <si>
    <t>Quelle Scope 3.5</t>
  </si>
  <si>
    <t>Quelle Scope 3.1</t>
  </si>
  <si>
    <t>Bücher (kg)</t>
  </si>
  <si>
    <t>CDs (kg)</t>
  </si>
  <si>
    <t>DVDs (kg)</t>
  </si>
  <si>
    <t>.</t>
  </si>
  <si>
    <t>Werte vorhanden? (vorausgefüllt)</t>
  </si>
  <si>
    <t>Datenqualität Wert (Dropdown)</t>
  </si>
  <si>
    <t>Scope 1 Zuordnung</t>
  </si>
  <si>
    <t>Scope 2 Zuordnung</t>
  </si>
  <si>
    <t>Scope 3 Zuordnung</t>
  </si>
  <si>
    <t>Scope 3 Zuordnung 2</t>
  </si>
  <si>
    <t>-</t>
  </si>
  <si>
    <t>Diesel-Notstromaggregat</t>
  </si>
  <si>
    <t>Stammdaten</t>
  </si>
  <si>
    <t>Strombezug (Strommix Deutschland)</t>
  </si>
  <si>
    <t>Externe</t>
  </si>
  <si>
    <t>Extern ermittelte Emissionen</t>
  </si>
  <si>
    <t>DD_Thema_2</t>
  </si>
  <si>
    <t>Themenzuordnung auswählen!</t>
  </si>
  <si>
    <t>Zuordnung Sektoren und Themen</t>
  </si>
  <si>
    <t>Übersicht Emissionsfaktoren</t>
  </si>
  <si>
    <t>CFC-12</t>
  </si>
  <si>
    <t>HCFC-123</t>
  </si>
  <si>
    <t>HCFC-22</t>
  </si>
  <si>
    <t>HFC-125</t>
  </si>
  <si>
    <t>HFC-134a</t>
  </si>
  <si>
    <t>HFC-143a</t>
  </si>
  <si>
    <t>HFC-227ea</t>
  </si>
  <si>
    <t>HFC-23</t>
  </si>
  <si>
    <t>HFC-32</t>
  </si>
  <si>
    <t>HFO-1234yf</t>
  </si>
  <si>
    <t>HFO-1234ze(Z)</t>
  </si>
  <si>
    <t>R1150 (Ethen)</t>
  </si>
  <si>
    <t>R1270 (Propen)</t>
  </si>
  <si>
    <t>R170 (Ethan)</t>
  </si>
  <si>
    <t>R290 (Propan)</t>
  </si>
  <si>
    <t>R600a (Isobutan)</t>
  </si>
  <si>
    <t>R717 (Ammoniak)</t>
  </si>
  <si>
    <t>R744 (Kohlenstoffdioxid)</t>
  </si>
  <si>
    <t>PFC-116</t>
  </si>
  <si>
    <t>R401A</t>
  </si>
  <si>
    <t>R401B</t>
  </si>
  <si>
    <t>R402A</t>
  </si>
  <si>
    <t>R402B</t>
  </si>
  <si>
    <t>R404A</t>
  </si>
  <si>
    <t>R407A</t>
  </si>
  <si>
    <t>R407C</t>
  </si>
  <si>
    <t>R407F</t>
  </si>
  <si>
    <t>R408A</t>
  </si>
  <si>
    <t>R409A</t>
  </si>
  <si>
    <t>R410A</t>
  </si>
  <si>
    <t>R417A</t>
  </si>
  <si>
    <t>R422A</t>
  </si>
  <si>
    <t>R422D</t>
  </si>
  <si>
    <t>R423A</t>
  </si>
  <si>
    <t>R424A</t>
  </si>
  <si>
    <t>R427A</t>
  </si>
  <si>
    <t>R428A</t>
  </si>
  <si>
    <t>R434A</t>
  </si>
  <si>
    <t>R437A</t>
  </si>
  <si>
    <t>R438A</t>
  </si>
  <si>
    <t>R442A</t>
  </si>
  <si>
    <t>R502</t>
  </si>
  <si>
    <t>R507A / R507</t>
  </si>
  <si>
    <t>R508B</t>
  </si>
  <si>
    <t>Vermeidungsfaktor [kg CO2e/Einheit]</t>
  </si>
  <si>
    <t>Übernachtungen</t>
  </si>
  <si>
    <t>Mitarbeitende</t>
  </si>
  <si>
    <t>Allgemeine Hinweise zur Verwendung des Tools</t>
  </si>
  <si>
    <t>Datenerfassung Beyond Carbon</t>
  </si>
  <si>
    <t>Verkehrsmittel (Dropdown)</t>
  </si>
  <si>
    <t>Datenqualität (Dropdown)</t>
  </si>
  <si>
    <t>Gliederung der Bilanz</t>
  </si>
  <si>
    <t>Gliederungselemente</t>
  </si>
  <si>
    <t>Bezeichnung Gliederungselement</t>
  </si>
  <si>
    <t>Anzahl der Mitarbeitenden (Personen) (optional)</t>
  </si>
  <si>
    <t>Adresse (optional)</t>
  </si>
  <si>
    <t>Systemgrenze</t>
  </si>
  <si>
    <t>Zuordnung Gliederungselement (Dropdown)</t>
  </si>
  <si>
    <t>Vollständig erfasst?
(Bitte ankreuzen)</t>
  </si>
  <si>
    <t>Übersicht Datenerfassung</t>
  </si>
  <si>
    <t>Papierverbrauch Büro</t>
  </si>
  <si>
    <t>Verpackungsmaterialien</t>
  </si>
  <si>
    <t>Papierverbrauch 
(Anzahl Blatt Papier)</t>
  </si>
  <si>
    <t>Druck- und Werbematerialien</t>
  </si>
  <si>
    <t>Wasserverbrauch</t>
  </si>
  <si>
    <r>
      <t>Wasserverbrauch (m</t>
    </r>
    <r>
      <rPr>
        <b/>
        <vertAlign val="superscript"/>
        <sz val="11"/>
        <color theme="1"/>
        <rFont val="Calibri"/>
        <family val="2"/>
        <scheme val="minor"/>
      </rPr>
      <t>3</t>
    </r>
    <r>
      <rPr>
        <b/>
        <sz val="11"/>
        <color theme="1"/>
        <rFont val="Calibri"/>
        <family val="2"/>
        <scheme val="minor"/>
      </rPr>
      <t>)</t>
    </r>
  </si>
  <si>
    <t>Hinweis: Um weitere Zeilen hinzuzufügen, markieren Sie die gesamte letzte Tabellenzeile und fügen Sie weitere Zeilen ein (Menüband: Start -&gt; Zellen -&gt; Einfügen)</t>
  </si>
  <si>
    <t>See: Binnenschiff</t>
  </si>
  <si>
    <t>Beyond Carbon</t>
  </si>
  <si>
    <t>Summe</t>
  </si>
  <si>
    <t>Einheit</t>
  </si>
  <si>
    <t>DD_Sparten</t>
  </si>
  <si>
    <t>DD_Datenqualität</t>
  </si>
  <si>
    <t>Haben Sie Daten zu Beyond Carbon erfasst?</t>
  </si>
  <si>
    <t>ja</t>
  </si>
  <si>
    <t>nein</t>
  </si>
  <si>
    <t>DD_ja_nein</t>
  </si>
  <si>
    <t>Scope 3.1</t>
  </si>
  <si>
    <t>Scope 3.5</t>
  </si>
  <si>
    <t>Allgemeine Hinweise zur Erfassung:</t>
  </si>
  <si>
    <t>Erfassen Sie hier bitte den Verbrauch an Büropapier im Bezugsjahr (Anzahl Blatt Papier).</t>
  </si>
  <si>
    <t>Score</t>
  </si>
  <si>
    <t>Thema_Bezeichung</t>
  </si>
  <si>
    <t>Medien</t>
  </si>
  <si>
    <r>
      <t>Ergebnis [kg CO</t>
    </r>
    <r>
      <rPr>
        <b/>
        <vertAlign val="subscript"/>
        <sz val="11"/>
        <color theme="1"/>
        <rFont val="Calibri"/>
        <family val="2"/>
        <scheme val="minor"/>
      </rPr>
      <t>2</t>
    </r>
    <r>
      <rPr>
        <b/>
        <sz val="11"/>
        <color theme="1"/>
        <rFont val="Calibri"/>
        <family val="2"/>
        <scheme val="minor"/>
      </rPr>
      <t>e] (vorausgefüllt)</t>
    </r>
  </si>
  <si>
    <t>Scope 1.1</t>
  </si>
  <si>
    <t>Scope 2.2</t>
  </si>
  <si>
    <t>Scope 1.2</t>
  </si>
  <si>
    <t>Scope 1.4</t>
  </si>
  <si>
    <t>Scope 2.1</t>
  </si>
  <si>
    <t>Scope 3.3</t>
  </si>
  <si>
    <t>Scope 3.4</t>
  </si>
  <si>
    <t>Scope 3.6</t>
  </si>
  <si>
    <t>Scope 3.7</t>
  </si>
  <si>
    <t>Scope 3.9</t>
  </si>
  <si>
    <t>Scope 1.1: Emissionen aus stationärer Verbrennung</t>
  </si>
  <si>
    <t>Scope 1.2: Emissionen aus mobiler Verbrennung</t>
  </si>
  <si>
    <t>Scope 1.4: Emissionen aus Verflüchtigungen</t>
  </si>
  <si>
    <t>Scope 3.1: Eingekaufte Waren und Dienstleistungen</t>
  </si>
  <si>
    <t>Scope 3.4: Transport und Verteilung (vorgelagert)</t>
  </si>
  <si>
    <t>Scope 3.5: Abfall</t>
  </si>
  <si>
    <t>Scope 3.6: Geschäftsreisen</t>
  </si>
  <si>
    <t>Scope 3.9: Transport und Verteilung (nachgelagert)</t>
  </si>
  <si>
    <t>Scope 2.1: Emissionen aus zugekauftem und 
verbrauchtem Strom</t>
  </si>
  <si>
    <t>Scope 2.2: Emissionen aus weiterer zugekaufter Energie 
(Wärme, Kälte, Dampf, Wasser)</t>
  </si>
  <si>
    <t>Scope 3.3: Brennstoff und energiebezogene Emissionen 
(nicht in Scope 1 und 2 enthalten)</t>
  </si>
  <si>
    <t>Scope 1</t>
  </si>
  <si>
    <t>Scope 2</t>
  </si>
  <si>
    <t>Scope 3</t>
  </si>
  <si>
    <t>Systemgrenzen der Treibhausgasbilanz von Kultureinrichtungen</t>
  </si>
  <si>
    <t>kWh (Brennwert)</t>
  </si>
  <si>
    <t>kWh (Heizwert)</t>
  </si>
  <si>
    <t>Anfahrtswegpauschale</t>
  </si>
  <si>
    <t>Bücher (Stück)</t>
  </si>
  <si>
    <t>CDs (Stück)</t>
  </si>
  <si>
    <t>DVDs (Stück)</t>
  </si>
  <si>
    <t>D20</t>
  </si>
  <si>
    <t>D47</t>
  </si>
  <si>
    <t>D74</t>
  </si>
  <si>
    <t>D101</t>
  </si>
  <si>
    <t>Vermiedene Emissionen [kg CO2e]</t>
  </si>
  <si>
    <t>Vermiedene Treibhausgasemissionen</t>
  </si>
  <si>
    <r>
      <t>t CO</t>
    </r>
    <r>
      <rPr>
        <b/>
        <vertAlign val="subscript"/>
        <sz val="12"/>
        <rFont val="Calibri"/>
        <family val="2"/>
        <scheme val="minor"/>
      </rPr>
      <t>2</t>
    </r>
    <r>
      <rPr>
        <b/>
        <sz val="12"/>
        <rFont val="Calibri"/>
        <family val="2"/>
        <scheme val="minor"/>
      </rPr>
      <t>e</t>
    </r>
  </si>
  <si>
    <t>Ergebnisse</t>
  </si>
  <si>
    <t>Emissionsfaktoren</t>
  </si>
  <si>
    <t>Farb- und Formatierungscode</t>
  </si>
  <si>
    <t xml:space="preserve"> Infokästen und Erfassungshinweise</t>
  </si>
  <si>
    <r>
      <rPr>
        <b/>
        <sz val="11"/>
        <color theme="1"/>
        <rFont val="Calibri"/>
        <family val="2"/>
        <scheme val="minor"/>
      </rPr>
      <t>2. Datenerfassung</t>
    </r>
    <r>
      <rPr>
        <sz val="11"/>
        <color theme="1"/>
        <rFont val="Calibri"/>
        <family val="2"/>
        <scheme val="minor"/>
      </rPr>
      <t xml:space="preserve"> - Insbesondere im Bereich der Datenerfassung gibt es Infokästen und Erfassungshinweise:</t>
    </r>
  </si>
  <si>
    <t>Schraffierte Zellen und Flächen sind bei der Erfassung zu ignorieren. Tragen Sie hier keine Werte ein.</t>
  </si>
  <si>
    <t xml:space="preserve">Kurzanleitung </t>
  </si>
  <si>
    <t xml:space="preserve">1. </t>
  </si>
  <si>
    <t xml:space="preserve">2. </t>
  </si>
  <si>
    <t xml:space="preserve">3. </t>
  </si>
  <si>
    <t xml:space="preserve">3a. </t>
  </si>
  <si>
    <t xml:space="preserve">3b. </t>
  </si>
  <si>
    <t xml:space="preserve">4. </t>
  </si>
  <si>
    <t>Tragen Sie die Stammdaten Ihrer Einrichtung ein.</t>
  </si>
  <si>
    <t>Version</t>
  </si>
  <si>
    <t>Datum</t>
  </si>
  <si>
    <t>ggf. Änderungen</t>
  </si>
  <si>
    <t>Link zum Tabellenblatt</t>
  </si>
  <si>
    <t>Hinweis: Um weitere Gliederungselemente hinzuzufügen, markieren Sie die gesamte letzte Tabellenzeile und fügen Sie weitere Zeilen ein 
(Menüband: Start -&gt; Zellen -&gt; Einfügen). Nicht benötigte Zellen können Sie der Übersichtlichkeit halber löschen.</t>
  </si>
  <si>
    <t>Scope 1 Kategorie</t>
  </si>
  <si>
    <t>Scope 2 Kategorie</t>
  </si>
  <si>
    <t>Scope 3 Kategorie</t>
  </si>
  <si>
    <t>Scope 3 Kategorie 2</t>
  </si>
  <si>
    <r>
      <t>Ergebnis [kg CO</t>
    </r>
    <r>
      <rPr>
        <b/>
        <vertAlign val="subscript"/>
        <sz val="11"/>
        <rFont val="Calibri"/>
        <family val="2"/>
        <scheme val="minor"/>
      </rPr>
      <t>2</t>
    </r>
    <r>
      <rPr>
        <b/>
        <sz val="11"/>
        <rFont val="Calibri"/>
        <family val="2"/>
        <scheme val="minor"/>
      </rPr>
      <t>e] (vorausgefüllt)</t>
    </r>
  </si>
  <si>
    <r>
      <t>Emissionen Scope 1
[t CO</t>
    </r>
    <r>
      <rPr>
        <b/>
        <vertAlign val="subscript"/>
        <sz val="11"/>
        <rFont val="Calibri"/>
        <family val="2"/>
        <scheme val="minor"/>
      </rPr>
      <t>2</t>
    </r>
    <r>
      <rPr>
        <b/>
        <sz val="11"/>
        <rFont val="Calibri"/>
        <family val="2"/>
        <scheme val="minor"/>
      </rPr>
      <t>e]</t>
    </r>
  </si>
  <si>
    <r>
      <t>Emissionen Scope 2
[t CO</t>
    </r>
    <r>
      <rPr>
        <b/>
        <vertAlign val="subscript"/>
        <sz val="11"/>
        <rFont val="Calibri"/>
        <family val="2"/>
        <scheme val="minor"/>
      </rPr>
      <t>2</t>
    </r>
    <r>
      <rPr>
        <b/>
        <sz val="11"/>
        <rFont val="Calibri"/>
        <family val="2"/>
        <scheme val="minor"/>
      </rPr>
      <t>e]</t>
    </r>
  </si>
  <si>
    <r>
      <t>Emissionen Scope 3
[t CO</t>
    </r>
    <r>
      <rPr>
        <b/>
        <vertAlign val="subscript"/>
        <sz val="11"/>
        <rFont val="Calibri"/>
        <family val="2"/>
        <scheme val="minor"/>
      </rPr>
      <t>2</t>
    </r>
    <r>
      <rPr>
        <b/>
        <sz val="11"/>
        <rFont val="Calibri"/>
        <family val="2"/>
        <scheme val="minor"/>
      </rPr>
      <t>e]</t>
    </r>
  </si>
  <si>
    <r>
      <t>Summe Scope 1-3 
[t CO</t>
    </r>
    <r>
      <rPr>
        <b/>
        <vertAlign val="subscript"/>
        <sz val="11"/>
        <rFont val="Calibri"/>
        <family val="2"/>
        <scheme val="minor"/>
      </rPr>
      <t>2</t>
    </r>
    <r>
      <rPr>
        <b/>
        <sz val="11"/>
        <rFont val="Calibri"/>
        <family val="2"/>
        <scheme val="minor"/>
      </rPr>
      <t>e]</t>
    </r>
  </si>
  <si>
    <t>Fernwärme (fossiler Mix DE)</t>
  </si>
  <si>
    <t>Druck- und Werbematerialien
(Kilogramm)</t>
  </si>
  <si>
    <t>Vepackungsmaterialien 
(Kilogramm)</t>
  </si>
  <si>
    <t>Straße: Last-/Sattelzug 24-40 t</t>
  </si>
  <si>
    <t>Anleitung</t>
  </si>
  <si>
    <t>Einkauf Medien</t>
  </si>
  <si>
    <t>Einkauf/Abfall</t>
  </si>
  <si>
    <t>Erfassen Sie hier die Masse der im Bezugsjahr gedruckten Druck- und Werbematerialien in Kilogramm.</t>
  </si>
  <si>
    <t>Erfassen Sie hier die Masse der im Bezugsjahr verbrauchten Verpackungsmaterialien (z.B. Kartonage, Kunststofffolie, etc.) in Kilogramm.</t>
  </si>
  <si>
    <t>Datenerfassung Basisdaten (Stammdaten, Gliederung der Bilanz)</t>
  </si>
  <si>
    <t>kursive Schrift 
(mit oder ohne blauen Rahmen)</t>
  </si>
  <si>
    <t>1. KlimaBilanzKultur (verpflichtend):</t>
  </si>
  <si>
    <t>Datenerfassung KlimaBilanzKultur</t>
  </si>
  <si>
    <t>Erfassen Sie die Daten zur Ermittlung der KlimaBilanzKultur.</t>
  </si>
  <si>
    <t>2. KlimaBilanzKultur+ (optional):</t>
  </si>
  <si>
    <t>Datenerfassung KlimaBilanzKultur+</t>
  </si>
  <si>
    <t>3. Beyond Carbon (optional):</t>
  </si>
  <si>
    <t>Erfassen Sie ggf. zusätzlich die Daten zur Ermittlung der KlimaBilanzKultur+.</t>
  </si>
  <si>
    <r>
      <t>CO</t>
    </r>
    <r>
      <rPr>
        <b/>
        <vertAlign val="subscript"/>
        <sz val="14"/>
        <color rgb="FF4472C4"/>
        <rFont val="Calibri"/>
        <family val="2"/>
        <scheme val="minor"/>
      </rPr>
      <t>2</t>
    </r>
    <r>
      <rPr>
        <b/>
        <sz val="14"/>
        <color rgb="FF4472C4"/>
        <rFont val="Calibri"/>
        <family val="2"/>
        <scheme val="minor"/>
      </rPr>
      <t>-Rechner für Kultureinrichtungen in Deutschland (CO</t>
    </r>
    <r>
      <rPr>
        <b/>
        <vertAlign val="subscript"/>
        <sz val="14"/>
        <color rgb="FF4472C4"/>
        <rFont val="Calibri"/>
        <family val="2"/>
        <scheme val="minor"/>
      </rPr>
      <t>2</t>
    </r>
    <r>
      <rPr>
        <b/>
        <sz val="14"/>
        <color rgb="FF4472C4"/>
        <rFont val="Calibri"/>
        <family val="2"/>
        <scheme val="minor"/>
      </rPr>
      <t>-Kulturrechner)</t>
    </r>
  </si>
  <si>
    <r>
      <rPr>
        <b/>
        <sz val="11"/>
        <color theme="1"/>
        <rFont val="Calibri"/>
        <family val="2"/>
        <scheme val="minor"/>
      </rPr>
      <t>1. Navigation Tabellenblätter</t>
    </r>
    <r>
      <rPr>
        <sz val="11"/>
        <color theme="1"/>
        <rFont val="Calibri"/>
        <family val="2"/>
        <scheme val="minor"/>
      </rPr>
      <t xml:space="preserve"> - Die einzelnen Tabellenblätter (Reiter) dieser Excel-Datei sind farblich codiert:</t>
    </r>
  </si>
  <si>
    <t>Verlinkungen</t>
  </si>
  <si>
    <t>Die KlimaBilanzKultur+ (KBK+) ermöglicht die Berücksichtigung weiterer Themenbereiche in Scope 3 in Ihrer Treibhausgasbilanz, beispielsweise die Anreise von Besuchenden zu Ihrer Einrichtung oder den Materialverbrauch. 
Die Erfassung von Daten in der KlimaBilanzultur+ ist optional.</t>
  </si>
  <si>
    <r>
      <t>Im Bereich von „Beyond Carbon“ werden ausgewählte Güter betrachtet, die durch Ihre Einrichtung bezogen werden, deren Klimawirkung in CO</t>
    </r>
    <r>
      <rPr>
        <vertAlign val="subscript"/>
        <sz val="11"/>
        <color theme="1"/>
        <rFont val="Calibri"/>
        <family val="2"/>
        <scheme val="minor"/>
      </rPr>
      <t>2</t>
    </r>
    <r>
      <rPr>
        <sz val="11"/>
        <color theme="1"/>
        <rFont val="Calibri"/>
        <family val="2"/>
        <scheme val="minor"/>
      </rPr>
      <t>e jedoch oft vernachlässigbar ist und nur bedingt die tatsächliche Umweltwirkung abbildet (z.B. Wasser- und Papierverbrauch). Daher werden in diesem Bereich zur Bewusstseinsbildung lediglich absolute Verbrauchswerte erfasst, jedoch nicht die verbundenen Emissionen berechnet. 
Die Erfassung von Daten im Bereich "Beyond Carbon" ist optional.</t>
    </r>
  </si>
  <si>
    <t>Verlinkungen innerhalb des Tools sind in unterstrichener orangefarbener Schrift markiert. 
Durch einfaches Klicken auf den Text gelangen Sie an die entsprechende Stelle in der Datei.</t>
  </si>
  <si>
    <t xml:space="preserve">Kultursparte </t>
  </si>
  <si>
    <t>Name der Einrichtung</t>
  </si>
  <si>
    <t>Bitte auswählen 
(Dropdown)</t>
  </si>
  <si>
    <t>Anpassung der Ergebnisanzeige</t>
  </si>
  <si>
    <t>Themenbereich</t>
  </si>
  <si>
    <t>KBK</t>
  </si>
  <si>
    <t>KBK+</t>
  </si>
  <si>
    <t>Datenerfassung KlimaBilanzKultur+ (KBK+)</t>
  </si>
  <si>
    <t>Datenerfassung KlimaBilanzKultur (KBK)</t>
  </si>
  <si>
    <t>Haben Sie Daten für die KBK+ erfasst?</t>
  </si>
  <si>
    <t>KlimaBilanzKultur+ (KBK+)</t>
  </si>
  <si>
    <t>Summe: KBK und KBK+</t>
  </si>
  <si>
    <t>KlimaBilanzKultur (KBK)</t>
  </si>
  <si>
    <t>Summe KBK</t>
  </si>
  <si>
    <t>Summe KBK+</t>
  </si>
  <si>
    <r>
      <t>Summe: 
KBK und KBK+ 
[t CO</t>
    </r>
    <r>
      <rPr>
        <b/>
        <vertAlign val="subscript"/>
        <sz val="11"/>
        <rFont val="Calibri"/>
        <family val="2"/>
        <scheme val="minor"/>
      </rPr>
      <t>2</t>
    </r>
    <r>
      <rPr>
        <b/>
        <sz val="11"/>
        <rFont val="Calibri"/>
        <family val="2"/>
        <scheme val="minor"/>
      </rPr>
      <t>e]</t>
    </r>
  </si>
  <si>
    <t>Zusammenfassung und Kennzahlen:</t>
  </si>
  <si>
    <t>Emissionen nach Themenbereich:</t>
  </si>
  <si>
    <t>Emissionen nach Scope:</t>
  </si>
  <si>
    <t>IT-Dienst-leistungen</t>
  </si>
  <si>
    <t>Anreise der Beschenden</t>
  </si>
  <si>
    <t>Waren-transporte</t>
  </si>
  <si>
    <t>Pendeln  Mitarbeitende</t>
  </si>
  <si>
    <t>Legen Sie zur Strukturierung Ihrer Bilanz Gliedrungselemente an.</t>
  </si>
  <si>
    <t>Erfassen Sie ggf. zusätzlich die Daten im Bereich Beyond Carbon.</t>
  </si>
  <si>
    <t>Die folgende Tabelle bietet einen Überblick über alle Themen der KlimaBilanzKultur und gibt als Arbeitshilfe Aufschluss über den Erfassungsstatus. Über die orange markierten Texte in Spalte "Themenbereich" können Sie direkt zur Erfassungstabelle des jeweiligen Themenbereichs springen. 
Die Spalte "Werte vorhanden?" indiziert, ob in der jeweiligen Erfassungstabelle des Themenbereichs bereits Daten erfasst wurden, jedoch nicht, ob diese vollständig sind. Wenn Sie alle Emissionsquellen für ein Themenbereich erfasst haben, klicken Sie bitte in das weiße Kästchen in Spalte "Vollständig erfasst?".</t>
  </si>
  <si>
    <r>
      <t xml:space="preserve">Um das Teileregebnis für ein einzelnes Gliederungselement anzuzeigen, wählen Sie bitte im </t>
    </r>
    <r>
      <rPr>
        <i/>
        <sz val="11"/>
        <color theme="5"/>
        <rFont val="Calibri"/>
        <family val="2"/>
        <scheme val="minor"/>
      </rPr>
      <t>orange</t>
    </r>
    <r>
      <rPr>
        <i/>
        <sz val="11"/>
        <rFont val="Calibri"/>
        <family val="2"/>
        <scheme val="minor"/>
      </rPr>
      <t xml:space="preserve"> eingefärbten Feld das Gliederungselment über das Dropdown-Menü!</t>
    </r>
  </si>
  <si>
    <t>Erfassen Sie hier das im Bezugsjahr bezogene Volumen an Trinkwasser in Kubikmetern. Die Verbrauchswerte finden Sie in der Regel in der Abrechnung Ihres Versorgers.</t>
  </si>
  <si>
    <t>Durchschnittliche Distanz 
(km einfach)</t>
  </si>
  <si>
    <t>Bitte erfassen Sie die jährliche Einkaufsmenge von neu beschafften Büchern, CDs und DVDs über das Gewicht (kg) oder die beschaffte Stückzahl. 
Sonstige Waren des Einkaufs können über die Erfassung der Abfallvolumina indirekt über den Themenbereich "Relevante Stoffströme" berücksichtigt werden.</t>
  </si>
  <si>
    <t>Vermeidungsfaktor (kg CO2e/Einheit)</t>
  </si>
  <si>
    <t>Quelle  Vermeidungsfaktor</t>
  </si>
  <si>
    <t>Erdgas (in kWh)</t>
  </si>
  <si>
    <t>Biomethan (in kWh)</t>
  </si>
  <si>
    <r>
      <t>Der Standard definiert spartenübergreifend insbesondere die operationellen Systemgrenzen für den CO</t>
    </r>
    <r>
      <rPr>
        <vertAlign val="subscript"/>
        <sz val="11"/>
        <color theme="1"/>
        <rFont val="Calibri"/>
        <family val="2"/>
        <scheme val="minor"/>
      </rPr>
      <t>2</t>
    </r>
    <r>
      <rPr>
        <sz val="11"/>
        <color theme="1"/>
        <rFont val="Calibri"/>
        <family val="2"/>
        <scheme val="minor"/>
      </rPr>
      <t xml:space="preserve">-Fußabdruck. 
Unterschieden wird  zwischen </t>
    </r>
    <r>
      <rPr>
        <b/>
        <sz val="11"/>
        <color theme="1"/>
        <rFont val="Calibri"/>
        <family val="2"/>
        <scheme val="minor"/>
      </rPr>
      <t>drei unterschiedlichen Bilanzierungstiefen</t>
    </r>
    <r>
      <rPr>
        <sz val="11"/>
        <color theme="1"/>
        <rFont val="Calibri"/>
        <family val="2"/>
        <scheme val="minor"/>
      </rPr>
      <t xml:space="preserve"> (siehe Schaubild). Die Erfassung in diesem Tool ist entsprechend in drei Teile gegliedert. Die Ergebnisse werden ebenfalls entsprechend differenziert. Zur leichteren Bedienung des Tools sind alle drei Bereiche farblich unterschiedlich gekennzeichnet.</t>
    </r>
  </si>
  <si>
    <t>Die KlimaBilanzKultur (KBK) deckt Aktivitätsdaten aus Scope 1 und 2, sowie ausgewählte Scope 3 Kategorien des GHG Protocols ab.  Diese sind: Wärme, Strom, Kühl- und Kältemittel, Fuhrpark, Geschäftsreisen, Pendeln der Mitarbeitenden, Externe und Warentransporte.
Für eine standardkonforme Treibhausgasbilanz sind die Aktivitäten in den Themenbereiche der KlimaBilanzKultur verpflichtend zu erfassen.</t>
  </si>
  <si>
    <t>3. Dezimal- und Tausendertrennzeichen in Excel</t>
  </si>
  <si>
    <r>
      <t xml:space="preserve">Welche Dezimal- und Tausendertrennzeichen Ihnen bei Zahlen in Excel angezeigt werden, hängt von den Einstellungen Ihrer lokalen Excel-Version ab. Für gewöhnlich lassen sich diese über </t>
    </r>
    <r>
      <rPr>
        <i/>
        <sz val="11"/>
        <color theme="1"/>
        <rFont val="Calibri"/>
        <family val="2"/>
        <scheme val="minor"/>
      </rPr>
      <t>Datei -&gt; Optionen -&gt; Erweitert -&gt; Bearbeitungsoptionen</t>
    </r>
    <r>
      <rPr>
        <sz val="11"/>
        <color theme="1"/>
        <rFont val="Calibri"/>
        <family val="2"/>
        <scheme val="minor"/>
      </rPr>
      <t xml:space="preserve"> anpassen.</t>
    </r>
  </si>
  <si>
    <t>Scope 3.7: Pendeln der Mitarbeitenden</t>
  </si>
  <si>
    <t>Flüssiggas (in kWh)</t>
  </si>
  <si>
    <t>Flüssiggas (in L)</t>
  </si>
  <si>
    <t>Altholz (t)</t>
  </si>
  <si>
    <t>Metallschrott (t)</t>
  </si>
  <si>
    <t>Baumischabfall (t)</t>
  </si>
  <si>
    <t>Sperrmüll (t)</t>
  </si>
  <si>
    <t>Elektroschrott (IT-Hardware, t)</t>
  </si>
  <si>
    <t>Elektroschrott (ohne IT-Hardware, t)</t>
  </si>
  <si>
    <t>Papiermüll (t)</t>
  </si>
  <si>
    <t>Plastikmüll (t)</t>
  </si>
  <si>
    <t>Restmüll (t)</t>
  </si>
  <si>
    <t>Biomüll (t)</t>
  </si>
  <si>
    <t>Altglas (t)</t>
  </si>
  <si>
    <t>t</t>
  </si>
  <si>
    <t>Straße: LKW Durchschnitt</t>
  </si>
  <si>
    <t>Schiene: Zug Durchschnitt</t>
  </si>
  <si>
    <t>Vermeidung</t>
  </si>
  <si>
    <t>Scope 1 Änderung zum Vorjahr (%)</t>
  </si>
  <si>
    <t>Scope 2 Änderung zum Vorjahr (%)</t>
  </si>
  <si>
    <t>Scope 3 Änderung zum Vorjahr (%)</t>
  </si>
  <si>
    <t>Vermeidungsfaktor Änderung (%)</t>
  </si>
  <si>
    <t>Kommentar Änderung</t>
  </si>
  <si>
    <t>Scope 3.1 Änderung zum Vorjahr (%)</t>
  </si>
  <si>
    <t>Scope 3.5 Änderung zum Vorjahr (%)</t>
  </si>
  <si>
    <t>Änderung</t>
  </si>
  <si>
    <t>Erdgas (in m3)</t>
  </si>
  <si>
    <t>m3</t>
  </si>
  <si>
    <t>Biomethan (in m3)</t>
  </si>
  <si>
    <t>neuer Faktor</t>
  </si>
  <si>
    <t>Altholz (m3)</t>
  </si>
  <si>
    <t>Metallschrott (m3)</t>
  </si>
  <si>
    <t>Baumischabfall (m3)</t>
  </si>
  <si>
    <t>Sperrmüll (m3)</t>
  </si>
  <si>
    <t>Papiermüll (m3)</t>
  </si>
  <si>
    <t>Plastikmüll (m3)</t>
  </si>
  <si>
    <t>Restmüll (m3)</t>
  </si>
  <si>
    <t>Biomüll (m3)</t>
  </si>
  <si>
    <t>Altglas (m3)</t>
  </si>
  <si>
    <t>Originalfaktor 1,1 kg CO2/300g Buch, Umrechnung auf kg CO2e/kg</t>
  </si>
  <si>
    <t>Annahme Buchgewicht = 300g</t>
  </si>
  <si>
    <t>PCF (Rohwaren &amp; Herstellung) einer DVD, Originalfaktor 0,13756 kgCO2e/Stück (16 g), Umrechnung auf kg CO2e/kg</t>
  </si>
  <si>
    <t>PCF (Rohwaren &amp; Herstellung) einer DVD</t>
  </si>
  <si>
    <t>Herstellung der Kompatibilität mit Excel 2016 &amp; Excel 2019 in Bezug auf die Möglichkeit, eigene Emissionsfaktoren (Eigenfaktoren) funktional zu ergänzen.</t>
  </si>
  <si>
    <t>absolut 
[MWh/a]</t>
  </si>
  <si>
    <t>spezifisch 
[kWh/m²a]</t>
  </si>
  <si>
    <t>Wärmeverbrauch (gesamt)</t>
  </si>
  <si>
    <t>davon</t>
  </si>
  <si>
    <t>Anteil
[%]</t>
  </si>
  <si>
    <t>Erdgas</t>
  </si>
  <si>
    <t>Biogas</t>
  </si>
  <si>
    <t>Biomethan</t>
  </si>
  <si>
    <t>Heizöl</t>
  </si>
  <si>
    <t>Fernwärme</t>
  </si>
  <si>
    <t>Stromerzeugung (gesamt)</t>
  </si>
  <si>
    <t>Umrechnungsfaktor Heizwert 
[kWh/Standardeinheit]</t>
  </si>
  <si>
    <t>Quelle Umrechnungsfaktor</t>
  </si>
  <si>
    <t>Biogas (in kWh)</t>
  </si>
  <si>
    <t>Energieverbrauch und -erzeugung</t>
  </si>
  <si>
    <t>Energieverbrauch und -erzeugung:</t>
  </si>
  <si>
    <t>Strombezug (gesamt)</t>
  </si>
  <si>
    <t>Flüssiggas</t>
  </si>
  <si>
    <t>Zertifikat</t>
  </si>
  <si>
    <t>5.</t>
  </si>
  <si>
    <t xml:space="preserve">Sie können sich anschließend ein Ergebniszertifkat ausdrucken bzw. abspeichern. </t>
  </si>
  <si>
    <t>Die dargestellten Energieverbräuche bei Brennstoffen beziehen sich auf den Heizwert</t>
  </si>
  <si>
    <r>
      <t xml:space="preserve">Das untenstehende Zertifikat generiert sich automatisch auf Grundlage Ihrer Angaben zur Vollständigkeit in den Übersichtstabellen der Datenerfassung der KlimaBilanzKultur und KlimaBilanzKultur+. Sobald für einen Themenbereich in der Spalte "Vollständig erfasst?" das Häkchen gesetzt wird, passt sich das Zertifikat entsprechend an.
</t>
    </r>
    <r>
      <rPr>
        <b/>
        <i/>
        <sz val="11"/>
        <rFont val="Calibri"/>
        <family val="2"/>
        <scheme val="minor"/>
      </rPr>
      <t>Der Druckbereich ist vordefiniert. Um das Zertifikat auszudrucken bzw. als PDF zu speichern, gehen Sie in der Menüleiste auf Datei -&gt; Drucken</t>
    </r>
    <r>
      <rPr>
        <i/>
        <sz val="11"/>
        <rFont val="Calibri"/>
        <family val="2"/>
        <scheme val="minor"/>
      </rPr>
      <t>.</t>
    </r>
  </si>
  <si>
    <t>für</t>
  </si>
  <si>
    <r>
      <t>für die Erstellung einer Treibhausgasbilanz mit dem CO</t>
    </r>
    <r>
      <rPr>
        <vertAlign val="subscript"/>
        <sz val="14"/>
        <color theme="1"/>
        <rFont val="Yu Gothic UI Light"/>
        <family val="2"/>
      </rPr>
      <t>2</t>
    </r>
    <r>
      <rPr>
        <sz val="14"/>
        <color theme="1"/>
        <rFont val="Yu Gothic UI Light"/>
        <family val="2"/>
      </rPr>
      <t>-Kulturrechner
in Bezug auf das Jahr</t>
    </r>
  </si>
  <si>
    <r>
      <t>Systemgrenze nach CO</t>
    </r>
    <r>
      <rPr>
        <vertAlign val="subscript"/>
        <sz val="14"/>
        <color theme="1"/>
        <rFont val="Yu Gothic UI Light"/>
        <family val="2"/>
      </rPr>
      <t>2</t>
    </r>
    <r>
      <rPr>
        <sz val="14"/>
        <color theme="1"/>
        <rFont val="Yu Gothic UI Light"/>
        <family val="2"/>
      </rPr>
      <t>-Kulturstandard</t>
    </r>
  </si>
  <si>
    <t>2024 EF Scope 1
(kg CO2e/Einheit)
- 
CO2-Kulturrechner 2025</t>
  </si>
  <si>
    <t>2024 EF Scope 2
(kg CO2e/Einheit)
- 
CO2-Kulturrechner 2025</t>
  </si>
  <si>
    <t>2024 EF Scope 3
(kg CO2e/Einheit)
- 
CO2-Kulturrechner 2025</t>
  </si>
  <si>
    <t>2024 Vermeidungsfaktor (kg CO2e/Einheit)
- 
CO2-Kulturrechner 2025</t>
  </si>
  <si>
    <t>Biogas (in m3)</t>
  </si>
  <si>
    <t>Bugfix Emissionsberechnungen Strom - Vermiedene Treibhausgasemissionen und Ergebnisse vermiedene Treibhausgasemissionen</t>
  </si>
  <si>
    <t>Spalte1</t>
  </si>
  <si>
    <t>Scope 2 Emissionsfaktor market-based [kg CO2e/Einheit]</t>
  </si>
  <si>
    <t>PKW (Durchschnitt)</t>
  </si>
  <si>
    <t>PKW (Verbrennungsmotor)</t>
  </si>
  <si>
    <t>PKW (elektrisch)</t>
  </si>
  <si>
    <t>Übernachtung in Privatwohnung (Durchschnitt, Deutschland)</t>
  </si>
  <si>
    <t>mobiles Arbeiten</t>
  </si>
  <si>
    <t>Sonder- und Gefahrenstoffabfall (t)</t>
  </si>
  <si>
    <t>Scope 3 EF Nicht-CO2-Effekte [kg CO2e/Einheit]</t>
  </si>
  <si>
    <t>EF Scope 3 Nicht-CO2-Effekte
(kg CO2e/Einheit)</t>
  </si>
  <si>
    <t>Scope 3 Ergebnis Nicht-CO2 [kg CO2e]</t>
  </si>
  <si>
    <t>EF Scope 1 CO2
(kg CO2/Einheit)</t>
  </si>
  <si>
    <t>EF Scope 1 CH4
(kg CH4/Einheit)</t>
  </si>
  <si>
    <t>EF Scope 1 N2O
(kg N2O/Einheit)</t>
  </si>
  <si>
    <t>EF Scope 1 CO2 biogen
(kg CO2 /Einheit)</t>
  </si>
  <si>
    <t>EF Scope 2 CO2
(kg CO2/Einheit)</t>
  </si>
  <si>
    <t>EF Scope 2 CH4
(kg CH4/Einheit)</t>
  </si>
  <si>
    <t>EF Scope 2 N2O
(kg N2O/Einheit)</t>
  </si>
  <si>
    <t>HFCs</t>
  </si>
  <si>
    <t>PFCs</t>
  </si>
  <si>
    <t>CH4</t>
  </si>
  <si>
    <t>N2O</t>
  </si>
  <si>
    <t>SF6</t>
  </si>
  <si>
    <t>NF3</t>
  </si>
  <si>
    <t>Emissionen einzelner Treibhausgase in Scope 1 und Scope 2</t>
  </si>
  <si>
    <t>Treibhausgas</t>
  </si>
  <si>
    <t>CO2</t>
  </si>
  <si>
    <t>Emissionen
[t THG]</t>
  </si>
  <si>
    <t>Emissionen 
[t THG]</t>
  </si>
  <si>
    <t>Gesamtergebnis Scope 1-3</t>
  </si>
  <si>
    <t>Gesamtergebnis (location-based):</t>
  </si>
  <si>
    <t>Teilergebnis (location-based):</t>
  </si>
  <si>
    <t>location-based</t>
  </si>
  <si>
    <t>market-based</t>
  </si>
  <si>
    <t>alle Gliederungselemente</t>
  </si>
  <si>
    <t>einzelne Gliederungselemente</t>
  </si>
  <si>
    <t>Gesamtergebnis (market-based):</t>
  </si>
  <si>
    <t>Teilergebnis (market-based):</t>
  </si>
  <si>
    <t>Direktnavigation</t>
  </si>
  <si>
    <t>↪ Teilergebnis</t>
  </si>
  <si>
    <t>↪ Gesamtergebnis</t>
  </si>
  <si>
    <r>
      <t>t CO</t>
    </r>
    <r>
      <rPr>
        <vertAlign val="subscript"/>
        <sz val="14"/>
        <color theme="1"/>
        <rFont val="Yu Gothic UI Light"/>
        <family val="2"/>
      </rPr>
      <t>2</t>
    </r>
    <r>
      <rPr>
        <sz val="14"/>
        <color theme="1"/>
        <rFont val="Yu Gothic UI Light"/>
        <family val="2"/>
      </rPr>
      <t>-Äquivalenten* ermittelt.</t>
    </r>
  </si>
  <si>
    <t>EF Scope 1 NF3
(kg NF3/Einheit)</t>
  </si>
  <si>
    <t>EF Scope 1 SF6
(kg SF6/Einheit)</t>
  </si>
  <si>
    <t>EF Scope 1 PFCs
(kg PFCs/Einheit)</t>
  </si>
  <si>
    <t>EF Scope 1 HFCs
(kg HFCs/Einheit)</t>
  </si>
  <si>
    <t>EF Scope 2 HFCs
(kg HFCs/Einheit)</t>
  </si>
  <si>
    <t>EF Scope 2 PFCs
(kg PFCs/Einheit)</t>
  </si>
  <si>
    <t>EF Scope 2 SF6
(kg SF6/Einheit)</t>
  </si>
  <si>
    <t>EF Scope 2 NF3
(kg NF3/Einheit)</t>
  </si>
  <si>
    <t>Flug (Inland) - Durchschnitt</t>
  </si>
  <si>
    <t>Strombezug (Deutschland)</t>
  </si>
  <si>
    <t>Strom (externes Laden, Deutschland)</t>
  </si>
  <si>
    <t>Flug (innereuropäisch) - Durchschnitt</t>
  </si>
  <si>
    <t>Flug (international) - Durchschnitt</t>
  </si>
  <si>
    <t>Flug (innereuropäisch) - Economy</t>
  </si>
  <si>
    <t>Flug (innereuropäisch) - Business</t>
  </si>
  <si>
    <t>Flug (international) - Economy</t>
  </si>
  <si>
    <t>Flug (international) - Business</t>
  </si>
  <si>
    <t>Durchschnittliche PKW-Auslastung</t>
  </si>
  <si>
    <t>Spalte2</t>
  </si>
  <si>
    <t>EF Scope 1 CO2e
(kg CO2e/Einheit)</t>
  </si>
  <si>
    <t>EF Scope 2 CO2e
(kg CO2e/Einheit)</t>
  </si>
  <si>
    <t>EF Scope 3 CO2e
(kg CO2e/Einheit)</t>
  </si>
  <si>
    <t>EF Scope 3.1 CO2e Einkauf
(kg CO2e/Einheit)</t>
  </si>
  <si>
    <t>EF Scope 3.5 CO2e Abfall
(kg CO2e/Einheit)</t>
  </si>
  <si>
    <t>Fernwärme - Eigenfaktor angegeben?</t>
  </si>
  <si>
    <t>Vertragsstrommix angegegeben?</t>
  </si>
  <si>
    <t>PKW - Auslastung angegeben?</t>
  </si>
  <si>
    <t>Scope 1 CO2e [kg CO2e]</t>
  </si>
  <si>
    <t>Scope 1 CH4 [kg CO2e]</t>
  </si>
  <si>
    <t>Scope 1 CO2 [kg CO2e]</t>
  </si>
  <si>
    <t>Scope 1 N2O [kg CO2e]</t>
  </si>
  <si>
    <t>Scope 1 HFCs [kg CO2e]</t>
  </si>
  <si>
    <t>Scope 1 SF6 [kg CO2e]</t>
  </si>
  <si>
    <t>Scope 1 NF3 [kg CO2e]</t>
  </si>
  <si>
    <t>Scope 1 CO2 biogen [kg CO2]</t>
  </si>
  <si>
    <t>Scope 1 NF3 [kg NF3]</t>
  </si>
  <si>
    <t>Scope 1 SF6 [kg SF6]</t>
  </si>
  <si>
    <t>Scope 1 PFCs [kg PFCs]</t>
  </si>
  <si>
    <t>Scope 1 N2O [kg N2O]</t>
  </si>
  <si>
    <t>Scope 1 HFCs [kg HFCs]</t>
  </si>
  <si>
    <t>Scope 1 CH4 [kg CH4]</t>
  </si>
  <si>
    <t>Scope 1 CO2 [kg CO2]</t>
  </si>
  <si>
    <t>Scope 2 CO2 [kg CO2]</t>
  </si>
  <si>
    <t>Scope 2 CH4 [kg CH4]</t>
  </si>
  <si>
    <t>Scope 2 N2O [kg N2O]</t>
  </si>
  <si>
    <t>Scope 2 SF6 [kg SF6]</t>
  </si>
  <si>
    <t>Scope 2 NF3 [kg NF3]</t>
  </si>
  <si>
    <t>Scope 2 HFCs [kg HFCs]</t>
  </si>
  <si>
    <t>Scope 2 PFCs [kg PFCs]</t>
  </si>
  <si>
    <t>Scope 1 PFCs [kg CO2e]</t>
  </si>
  <si>
    <t>Scope 2 CO2 [kg CO2e]</t>
  </si>
  <si>
    <t>Scope 2 CH4 [kg CO2e]</t>
  </si>
  <si>
    <t>Scope 2 N2O [kg CO2e]</t>
  </si>
  <si>
    <t>Scope 2 HFCs [kg CO2e]</t>
  </si>
  <si>
    <t>Scope 2 PFCs [kg CO2e]</t>
  </si>
  <si>
    <t>Scope 2 SF6 [kg CO2e]</t>
  </si>
  <si>
    <t>Scope 2 NF3 [kg CO2e]</t>
  </si>
  <si>
    <t>Gas</t>
  </si>
  <si>
    <t>Gasgemisch</t>
  </si>
  <si>
    <t>Gruppe</t>
  </si>
  <si>
    <t>Quelle</t>
  </si>
  <si>
    <t>Scope 2 CO2e [kg CO2e]</t>
  </si>
  <si>
    <t>Scope 3 CO2e [kg CO2e]</t>
  </si>
  <si>
    <t>..</t>
  </si>
  <si>
    <t>…</t>
  </si>
  <si>
    <t>PKW-Auslastung:
Personenzahl/ PKW
(optionale Angabe)</t>
  </si>
  <si>
    <t>EF Scope 3.1 CO2e
(kg CO2e/Einheit)</t>
  </si>
  <si>
    <t>EF Scope 3.5 CO2e
(kg CO2e/Einheit)2</t>
  </si>
  <si>
    <t>Scope 3.1 CO2e [kg CO2e]</t>
  </si>
  <si>
    <t>Scope 3.5 CO2e [kg CO2e]</t>
  </si>
  <si>
    <t>Scope 2 CO2e market-based [kg CO2e]</t>
  </si>
  <si>
    <t>Strombezug (Deutschland) - Netzbezug</t>
  </si>
  <si>
    <t>EF Scope 1 Nicht-Kyoto-Gase
(kg Nicht-Kyoto-Gase/Einheit)</t>
  </si>
  <si>
    <t>EF Scope 2 Nicht-Kyoto-Gase
(kg Nicht-Kyoto-Gase/Einheit)</t>
  </si>
  <si>
    <t>Scope 1 non-Kyoto [kg non-Kyoto gas]</t>
  </si>
  <si>
    <t>Scope 2 non-Kyoto [kg non-Kyoto gas]</t>
  </si>
  <si>
    <t>Scope 1 non-Kyoto [kg CO2e]</t>
  </si>
  <si>
    <t>Scope 2 non-Kyoto [kg CO2e]</t>
  </si>
  <si>
    <t>Sonstige Treibhausgase</t>
  </si>
  <si>
    <t>GWP-100 CO2</t>
  </si>
  <si>
    <t>GWP-100 CH4</t>
  </si>
  <si>
    <t>GWP-100 N2O</t>
  </si>
  <si>
    <t>GWP-100 HFCs</t>
  </si>
  <si>
    <t>GWP-100 PFCs</t>
  </si>
  <si>
    <t>GWP-100 SF6</t>
  </si>
  <si>
    <t>GWP-100 NF3</t>
  </si>
  <si>
    <t>GWP-100 Nicht-Kyoto-Gase</t>
  </si>
  <si>
    <t>NA</t>
  </si>
  <si>
    <t>Global Warming Potential (GWP-100) der Treibhausgase und -gasgemische</t>
  </si>
  <si>
    <t>Das GWP-100 bildet das gewichtete Mittel der einzlenen Treihausgase innerhalb der jeweiligen Gasgruppe (HFCs, PFCs, Nicht-Hyoto-Gase) ab, aus denen sich das Gasgemisch zusammensetzt.</t>
  </si>
  <si>
    <t>Ergebnisse location-based</t>
  </si>
  <si>
    <t>Ergebnisse market-based</t>
  </si>
  <si>
    <r>
      <t>Aktualisierung der Emissionsfaktoren für Bilanzjahr 2023 (CO</t>
    </r>
    <r>
      <rPr>
        <vertAlign val="subscript"/>
        <sz val="11"/>
        <color theme="1"/>
        <rFont val="Calibri"/>
        <family val="2"/>
        <scheme val="minor"/>
      </rPr>
      <t>2</t>
    </r>
    <r>
      <rPr>
        <sz val="11"/>
        <color theme="1"/>
        <rFont val="Calibri"/>
        <family val="2"/>
        <scheme val="minor"/>
      </rPr>
      <t>-Kulturrechner 2024)</t>
    </r>
  </si>
  <si>
    <r>
      <t>Ergänzung der Ergebnisse um Energieverbräuche; Ergänzung um Energieträger Biogas (Themenbereich Wärme); Möglichkeit zur Bearbeitung von Grafiken im Tabellenblatt Ergebnisse; Ergänzung um ein druckbares Zertfikat mit dem Gesamtergebnis der CO</t>
    </r>
    <r>
      <rPr>
        <vertAlign val="subscript"/>
        <sz val="11"/>
        <color theme="1"/>
        <rFont val="Calibri"/>
        <family val="2"/>
        <scheme val="minor"/>
      </rPr>
      <t>2</t>
    </r>
    <r>
      <rPr>
        <sz val="11"/>
        <color theme="1"/>
        <rFont val="Calibri"/>
        <family val="2"/>
        <scheme val="minor"/>
      </rPr>
      <t>-Bilanz</t>
    </r>
  </si>
  <si>
    <t>Bugfix Emissionsquellen-Dopdown "Pendeln der Mitarbeitenden" (Zeilen 180-185)</t>
  </si>
  <si>
    <r>
      <t>CO</t>
    </r>
    <r>
      <rPr>
        <b/>
        <vertAlign val="subscript"/>
        <sz val="11"/>
        <color theme="1"/>
        <rFont val="Calibri"/>
        <family val="2"/>
        <scheme val="minor"/>
      </rPr>
      <t>2</t>
    </r>
    <r>
      <rPr>
        <b/>
        <sz val="11"/>
        <color theme="1"/>
        <rFont val="Calibri"/>
        <family val="2"/>
        <scheme val="minor"/>
      </rPr>
      <t>-Bilanz erstellt von:</t>
    </r>
  </si>
  <si>
    <r>
      <t xml:space="preserve">Gliederungselemente ermöglichen Ihnen zusätzlich zum Gesamtergebnis für Ihre Einrichtung, auch Teilergebnisse für einzelne Standorte, Gebäude o.Ä. zu berechnen. Bei der Datenerfassung muss jede Emissionsquelle einem Gliederungselement zugeordnet werden. </t>
    </r>
    <r>
      <rPr>
        <b/>
        <i/>
        <sz val="11"/>
        <rFont val="Calibri"/>
        <family val="2"/>
        <scheme val="minor"/>
      </rPr>
      <t>Zum Anlegen von Gliederungselementen, tragen Sie diese in untenstehende Tabelle ein</t>
    </r>
    <r>
      <rPr>
        <i/>
        <sz val="11"/>
        <rFont val="Calibri"/>
        <family val="2"/>
        <scheme val="minor"/>
      </rPr>
      <t xml:space="preserve">, sie erscheinen dann im Dropdown-Menü "Zuordnung Gliederungselement" bei der Datenerfassung.
Es ist erforderlich, </t>
    </r>
    <r>
      <rPr>
        <b/>
        <i/>
        <sz val="11"/>
        <rFont val="Calibri"/>
        <family val="2"/>
        <scheme val="minor"/>
      </rPr>
      <t>mindestens ein Gliederungselement</t>
    </r>
    <r>
      <rPr>
        <i/>
        <sz val="11"/>
        <rFont val="Calibri"/>
        <family val="2"/>
        <scheme val="minor"/>
      </rPr>
      <t xml:space="preserve"> anzulegen (z.B. mit dem Namen Ihrer Einrichtung als Bezeichung). Mehrere Gliederungselemente können sinnvoll sein, wenn Ihre Einrichtung beispielsweise aus mehreren Standorten oder Gebäuden besteht, für die Sie jeweils ein separates Ergebnis berechnen möchten. In diesem Fall kann es sich zudem anbieten, ein Gliederungselement namens "übergeordnete Emissionen" anzulegen, um Emissionsquellen zusammenzufassen, die sich nicht einem bestimmten Gliederungselement zuordnen lassen.
Weitere Details können Sie in der Anleitung zum </t>
    </r>
    <r>
      <rPr>
        <sz val="11"/>
        <rFont val="Calibri"/>
        <family val="2"/>
        <scheme val="minor"/>
      </rPr>
      <t>CO</t>
    </r>
    <r>
      <rPr>
        <vertAlign val="subscript"/>
        <sz val="11"/>
        <rFont val="Calibri"/>
        <family val="2"/>
        <scheme val="minor"/>
      </rPr>
      <t>2</t>
    </r>
    <r>
      <rPr>
        <i/>
        <sz val="11"/>
        <rFont val="Calibri"/>
        <family val="2"/>
        <scheme val="minor"/>
      </rPr>
      <t>-Kulturrechner, Kapitel 3.3, nachlesen.</t>
    </r>
  </si>
  <si>
    <t>In den Erfassungstabellen können Sie je Zeile eine Emissionsquelle/Aktivität erfassen, die genau einem Gliederungselement zugeordnet wird. Wählen Sie das Gliederungselement und die Emissionsquelle per Dropdown-Menü und tragen Sie den entsprechenden Wert in der zugehörigen Erfassungseinheit ein (z.B. Erdgasverbrauch in kWh, Geschäftsreisen per PKW in Pkm). Wählen Sie zudem die Datenqualität des eingetragenen Werts. 
Sie können jedem Gliederungselement beliebig viele Emissionsquellen/Aktivitäten im selben Themenbereich zuordnen. Wenn Sie zusätzliche Erfassungszeilen benötigen, markieren Sie die gesamte letzte Zeile einer Erfassungstabelle und fügen Sie weitere Zeilen ein (Menüband: Start -&gt; Zellen -&gt; Einfügen) .</t>
  </si>
  <si>
    <t>Erfassen Sie hier die wärmebezogenen Emissionsquellen in den Liegenschaften, über die Sie operative Kontrolle haben (Eigentum und zur Miete).
Haben Sie einen "Biogas"-Tarif (= Bezug von Biomethan) prüfen Sie bitte den Biomethan-Anteil Ihres Tarifs. Sollte dieser nicht 100% betragen, erfassen Sie den jeweiligen Erdgas- und Biomethan-Anteil als separate Aktivität in zwei separaten Zeilen.
Im Fall von Fernwärmebezug geben Sie den spezifischen Emissionsfaktor Ihres Lieferanten an, sofern Ihnen die entsprechenden Daten vorliegen. Wählen Sie hierzu "Fernwärme (Wert Energieversorger)" und tragen den Emissionsfaktor in Spalte I ein. Alternativ wählen Sie "Fernwärme (fossiler Mix DE)".</t>
  </si>
  <si>
    <r>
      <t>Nettogrundfläche (m</t>
    </r>
    <r>
      <rPr>
        <b/>
        <vertAlign val="superscript"/>
        <sz val="11"/>
        <color theme="0"/>
        <rFont val="Calibri"/>
        <family val="2"/>
        <scheme val="minor"/>
      </rPr>
      <t>2</t>
    </r>
    <r>
      <rPr>
        <b/>
        <sz val="11"/>
        <color theme="0"/>
        <rFont val="Calibri"/>
        <family val="2"/>
        <scheme val="minor"/>
      </rPr>
      <t>)</t>
    </r>
  </si>
  <si>
    <r>
      <t>Fernwärme Eigenfaktor Scope 2
[g CO</t>
    </r>
    <r>
      <rPr>
        <b/>
        <vertAlign val="subscript"/>
        <sz val="11"/>
        <color theme="0"/>
        <rFont val="Calibri"/>
        <family val="2"/>
        <scheme val="minor"/>
      </rPr>
      <t>2</t>
    </r>
    <r>
      <rPr>
        <b/>
        <sz val="11"/>
        <color theme="0"/>
        <rFont val="Calibri"/>
        <family val="2"/>
        <scheme val="minor"/>
      </rPr>
      <t>e/kWh]
(falls zutreffend)</t>
    </r>
  </si>
  <si>
    <r>
      <t xml:space="preserve">Erfassen Sie die Verflüchtigungen aus Kühl- und Kältemitteln (z.B. aus Klimanalagen oder Wärmepumpen). 
Verflüchtigungen aus Kleinstanlagen (z.B. in Fahrzeugen) sind vernachlässigbar. Größere Anlagen sind i.d.R. wartungspflichtig. Die Verflüchtigungsmenge entspricht dann der im Wartungsprotokoll vermerkten </t>
    </r>
    <r>
      <rPr>
        <b/>
        <i/>
        <sz val="11"/>
        <rFont val="Calibri"/>
        <family val="2"/>
        <scheme val="minor"/>
      </rPr>
      <t>Nachfüllmenge</t>
    </r>
    <r>
      <rPr>
        <i/>
        <sz val="11"/>
        <rFont val="Calibri"/>
        <family val="2"/>
        <scheme val="minor"/>
      </rPr>
      <t xml:space="preserve"> des Kühl-/Kältemittels.
Sollten Sie das verwendete Kühlmittel nicht im Dropdown finden, haben Sie die Möglichkeit im Reiter "Emissionsfaktoren" den Faktor selbst einzupflegen. Eine entsprechende Anleitung finden Sie ebenfalls dort sowie in der Anleitung zum </t>
    </r>
    <r>
      <rPr>
        <sz val="11"/>
        <rFont val="Calibri"/>
        <family val="2"/>
        <scheme val="minor"/>
      </rPr>
      <t>CO</t>
    </r>
    <r>
      <rPr>
        <vertAlign val="subscript"/>
        <sz val="11"/>
        <rFont val="Calibri"/>
        <family val="2"/>
        <scheme val="minor"/>
      </rPr>
      <t>2</t>
    </r>
    <r>
      <rPr>
        <i/>
        <sz val="11"/>
        <rFont val="Calibri"/>
        <family val="2"/>
        <scheme val="minor"/>
      </rPr>
      <t>-Kulturrechner. Der Emissionsfaktor des Kühlmittels wird üblicherweise im Wartungsprotokoll ausgewiesen.</t>
    </r>
  </si>
  <si>
    <r>
      <t>Scope-2-Emissionsfaktor Vertragsstrommix
[g CO</t>
    </r>
    <r>
      <rPr>
        <b/>
        <vertAlign val="subscript"/>
        <sz val="11"/>
        <color theme="0"/>
        <rFont val="Calibri"/>
        <family val="2"/>
        <scheme val="minor"/>
      </rPr>
      <t>2</t>
    </r>
    <r>
      <rPr>
        <b/>
        <sz val="11"/>
        <color theme="0"/>
        <rFont val="Calibri"/>
        <family val="2"/>
        <scheme val="minor"/>
      </rPr>
      <t>e/kWh]
(falls verfügbar)</t>
    </r>
  </si>
  <si>
    <t>Personenarbeitstage</t>
  </si>
  <si>
    <t>Besuchendenanzahl</t>
  </si>
  <si>
    <t>Bei den relevanten Stoffströmen werden die Emissionen der Herstellung und Entsorgung von Materialien berechnet und über die jährlichen Abfallmengen der entsprechenden Abfallkategorie erfasst (z.B. Altholz, Metallschrott, Baumischabfall oder Sperrmüll). Darüber hinaus sind die Abfallmengen weiterer haushaltsüblicher Abfallkategorien zu erfassen (Mülltonnen). 
Bitte wählen Sie die entsprechende Abfallart und Erfassungseinheit im Dropdown-Menü und tragen Sie die zugehörige Abfallmenge ein. Bei der Eingabe in Kubikmetern wird stets das Container- oder Mülltonnenvolumen berücksichtigt, unabhängig von der tatsächlichen Füllmenge. Die Werte hierfür können Sie i.d.R. auf Grundlage der Abrechnung Ihres Abfallentsorgers ermitteln. Weitere Hinweise hierzu finden Sie auch in der Anleitung (Kapitel 3.6.4).</t>
  </si>
  <si>
    <r>
      <t xml:space="preserve">Im Bereich von „Beyond Carbon“ werden ausgewählte Güter betrachtet, die durch Ihre Einrichtung bezogen werden, deren Klimawirkung gemessen in </t>
    </r>
    <r>
      <rPr>
        <sz val="11"/>
        <rFont val="Calibri"/>
        <family val="2"/>
        <scheme val="minor"/>
      </rPr>
      <t>CO</t>
    </r>
    <r>
      <rPr>
        <vertAlign val="subscript"/>
        <sz val="11"/>
        <rFont val="Calibri"/>
        <family val="2"/>
        <scheme val="minor"/>
      </rPr>
      <t>2</t>
    </r>
    <r>
      <rPr>
        <i/>
        <sz val="11"/>
        <rFont val="Calibri"/>
        <family val="2"/>
        <scheme val="minor"/>
      </rPr>
      <t>-Äquivalenten (</t>
    </r>
    <r>
      <rPr>
        <sz val="11"/>
        <rFont val="Calibri"/>
        <family val="2"/>
        <scheme val="minor"/>
      </rPr>
      <t>CO</t>
    </r>
    <r>
      <rPr>
        <vertAlign val="subscript"/>
        <sz val="11"/>
        <rFont val="Calibri"/>
        <family val="2"/>
        <scheme val="minor"/>
      </rPr>
      <t>2</t>
    </r>
    <r>
      <rPr>
        <i/>
        <sz val="11"/>
        <rFont val="Calibri"/>
        <family val="2"/>
        <scheme val="minor"/>
      </rPr>
      <t>e) jedoch oft vernachlässigbar ist und nur bedingt die tatsächliche Umweltwirkung abbildet (z.B. Wasser- und Papierverbrauch). Daher werden in diesem Bereich zur Bewusstseinsbildung lediglich absolute Verbrauchswerte erfasst, jedoch keine Emissionen berechnet. Die Erfassung von Daten im Bereich "Beyond Carbon" ist optional.</t>
    </r>
  </si>
  <si>
    <t>Werte vorhanden?
(vorausgefüllt)</t>
  </si>
  <si>
    <r>
      <t>Ergebnis [kg CO</t>
    </r>
    <r>
      <rPr>
        <b/>
        <vertAlign val="subscript"/>
        <sz val="11"/>
        <color theme="1"/>
        <rFont val="Calibri"/>
        <family val="2"/>
        <scheme val="minor"/>
      </rPr>
      <t>2</t>
    </r>
    <r>
      <rPr>
        <b/>
        <sz val="11"/>
        <color theme="1"/>
        <rFont val="Calibri"/>
        <family val="2"/>
        <scheme val="minor"/>
      </rPr>
      <t>e]
(vorausgefüllt)</t>
    </r>
  </si>
  <si>
    <r>
      <t>Ergebnis [kg CO</t>
    </r>
    <r>
      <rPr>
        <b/>
        <vertAlign val="subscript"/>
        <sz val="11"/>
        <rFont val="Calibri"/>
        <family val="2"/>
        <scheme val="minor"/>
      </rPr>
      <t>2</t>
    </r>
    <r>
      <rPr>
        <b/>
        <sz val="11"/>
        <rFont val="Calibri"/>
        <family val="2"/>
        <scheme val="minor"/>
      </rPr>
      <t>e]
(vorausgefüllt)</t>
    </r>
  </si>
  <si>
    <r>
      <t>Nicht-CO</t>
    </r>
    <r>
      <rPr>
        <b/>
        <vertAlign val="subscript"/>
        <sz val="11"/>
        <rFont val="Calibri"/>
        <family val="2"/>
        <scheme val="minor"/>
      </rPr>
      <t>2</t>
    </r>
    <r>
      <rPr>
        <b/>
        <sz val="11"/>
        <rFont val="Calibri"/>
        <family val="2"/>
        <scheme val="minor"/>
      </rPr>
      <t>-Effekte [kg CO</t>
    </r>
    <r>
      <rPr>
        <b/>
        <vertAlign val="subscript"/>
        <sz val="11"/>
        <rFont val="Calibri"/>
        <family val="2"/>
        <scheme val="minor"/>
      </rPr>
      <t>2</t>
    </r>
    <r>
      <rPr>
        <b/>
        <sz val="11"/>
        <rFont val="Calibri"/>
        <family val="2"/>
        <scheme val="minor"/>
      </rPr>
      <t>e] (vorausgefüllt)</t>
    </r>
  </si>
  <si>
    <r>
      <t>Nicht-CO</t>
    </r>
    <r>
      <rPr>
        <b/>
        <vertAlign val="subscript"/>
        <sz val="11"/>
        <color theme="1"/>
        <rFont val="Calibri"/>
        <family val="2"/>
        <scheme val="minor"/>
      </rPr>
      <t>2</t>
    </r>
    <r>
      <rPr>
        <b/>
        <sz val="11"/>
        <color theme="1"/>
        <rFont val="Calibri"/>
        <family val="2"/>
        <scheme val="minor"/>
      </rPr>
      <t>-Effekte</t>
    </r>
    <r>
      <rPr>
        <b/>
        <sz val="8"/>
        <color theme="1"/>
        <rFont val="Calibri"/>
        <family val="2"/>
        <scheme val="minor"/>
      </rPr>
      <t xml:space="preserve"> </t>
    </r>
    <r>
      <rPr>
        <b/>
        <sz val="11"/>
        <color theme="1"/>
        <rFont val="Calibri"/>
        <family val="2"/>
        <scheme val="minor"/>
      </rPr>
      <t>[kg CO</t>
    </r>
    <r>
      <rPr>
        <b/>
        <vertAlign val="subscript"/>
        <sz val="11"/>
        <color theme="1"/>
        <rFont val="Calibri"/>
        <family val="2"/>
        <scheme val="minor"/>
      </rPr>
      <t>2</t>
    </r>
    <r>
      <rPr>
        <b/>
        <sz val="11"/>
        <color theme="1"/>
        <rFont val="Calibri"/>
        <family val="2"/>
        <scheme val="minor"/>
      </rPr>
      <t>e]
(vorausgefüllt)</t>
    </r>
  </si>
  <si>
    <t>Die folgende Tabelle wiederum bietet einen Überblick über alle Themenbereiche der KBK+ und gibt Aufschluss über den Erfassungsstatus. Über die orange markierten Texte in Spalte "Themenbereich" können Sie direkt zur Erfassungstabelle des jeweiligen Themenbereichs springen.
Die Spalte "Werte vorhanden?" indiziert, ob in der jeweiligen Erfassungstabelle des Themenbereichs bereits Daten erfasst wurden, jedoch nicht, ob diese vollständig sind. Wenn Sie alle Emissionsquellen für einen Themenbereich erfasst haben, klicken Sie bitte in das weiße Kästchen in Spalte "Vollständig erfasst?".</t>
  </si>
  <si>
    <t>EF Scope 1 Nicht-Kyoto-Gase (kg Nicht-Kyoto-Gase/Einheit)</t>
  </si>
  <si>
    <t>EF Scope 2 Nicht-Kyoto-Gase (kg Nicht-Kyoto-Gase/Einheit)</t>
  </si>
  <si>
    <r>
      <t>Biogene CO</t>
    </r>
    <r>
      <rPr>
        <b/>
        <vertAlign val="subscript"/>
        <sz val="11"/>
        <rFont val="Calibri"/>
        <family val="2"/>
        <scheme val="minor"/>
      </rPr>
      <t>2</t>
    </r>
    <r>
      <rPr>
        <b/>
        <sz val="11"/>
        <rFont val="Calibri"/>
        <family val="2"/>
        <scheme val="minor"/>
      </rPr>
      <t>-Emissionen (nur Scope 1)</t>
    </r>
  </si>
  <si>
    <r>
      <t>Emissionen KlimaBilanzKultur+ 
[t CO</t>
    </r>
    <r>
      <rPr>
        <b/>
        <vertAlign val="subscript"/>
        <sz val="11"/>
        <rFont val="Calibri"/>
        <family val="2"/>
        <scheme val="minor"/>
      </rPr>
      <t>2</t>
    </r>
    <r>
      <rPr>
        <b/>
        <sz val="11"/>
        <rFont val="Calibri"/>
        <family val="2"/>
        <scheme val="minor"/>
      </rPr>
      <t>e]</t>
    </r>
  </si>
  <si>
    <r>
      <t>Emissionen KlimaBilanzKultur 
[t CO</t>
    </r>
    <r>
      <rPr>
        <b/>
        <vertAlign val="subscript"/>
        <sz val="11"/>
        <rFont val="Calibri"/>
        <family val="2"/>
        <scheme val="minor"/>
      </rPr>
      <t>2</t>
    </r>
    <r>
      <rPr>
        <b/>
        <sz val="11"/>
        <rFont val="Calibri"/>
        <family val="2"/>
        <scheme val="minor"/>
      </rPr>
      <t>e]</t>
    </r>
  </si>
  <si>
    <r>
      <t>Nicht-CO</t>
    </r>
    <r>
      <rPr>
        <b/>
        <vertAlign val="subscript"/>
        <sz val="11"/>
        <rFont val="Calibri"/>
        <family val="2"/>
        <scheme val="minor"/>
      </rPr>
      <t>2</t>
    </r>
    <r>
      <rPr>
        <b/>
        <sz val="11"/>
        <rFont val="Calibri"/>
        <family val="2"/>
        <scheme val="minor"/>
      </rPr>
      <t>-Effekte durch Flugreisen</t>
    </r>
  </si>
  <si>
    <r>
      <t>Gesamtemissionen
[t CO</t>
    </r>
    <r>
      <rPr>
        <b/>
        <vertAlign val="subscript"/>
        <sz val="11"/>
        <rFont val="Calibri"/>
        <family val="2"/>
        <scheme val="minor"/>
      </rPr>
      <t>2</t>
    </r>
    <r>
      <rPr>
        <b/>
        <sz val="11"/>
        <rFont val="Calibri"/>
        <family val="2"/>
        <scheme val="minor"/>
      </rPr>
      <t>e]</t>
    </r>
  </si>
  <si>
    <r>
      <t>flächenbezogene Treibhausgasintensität</t>
    </r>
    <r>
      <rPr>
        <b/>
        <vertAlign val="superscript"/>
        <sz val="11"/>
        <rFont val="Calibri"/>
        <family val="2"/>
        <scheme val="minor"/>
      </rPr>
      <t xml:space="preserve">
</t>
    </r>
    <r>
      <rPr>
        <b/>
        <sz val="11"/>
        <rFont val="Calibri"/>
        <family val="2"/>
        <scheme val="minor"/>
      </rPr>
      <t>[kg CO</t>
    </r>
    <r>
      <rPr>
        <b/>
        <vertAlign val="subscript"/>
        <sz val="11"/>
        <rFont val="Calibri"/>
        <family val="2"/>
        <scheme val="minor"/>
      </rPr>
      <t>2</t>
    </r>
    <r>
      <rPr>
        <b/>
        <sz val="11"/>
        <rFont val="Calibri"/>
        <family val="2"/>
        <scheme val="minor"/>
      </rPr>
      <t>e/m</t>
    </r>
    <r>
      <rPr>
        <b/>
        <vertAlign val="superscript"/>
        <sz val="11"/>
        <rFont val="Calibri"/>
        <family val="2"/>
        <scheme val="minor"/>
      </rPr>
      <t>2</t>
    </r>
    <r>
      <rPr>
        <b/>
        <sz val="11"/>
        <rFont val="Calibri"/>
        <family val="2"/>
        <scheme val="minor"/>
      </rPr>
      <t>]</t>
    </r>
  </si>
  <si>
    <r>
      <t>mitarbeiterbezogene Treibhausgasintensität
[kg CO</t>
    </r>
    <r>
      <rPr>
        <b/>
        <vertAlign val="subscript"/>
        <sz val="11"/>
        <rFont val="Calibri"/>
        <family val="2"/>
        <scheme val="minor"/>
      </rPr>
      <t>2</t>
    </r>
    <r>
      <rPr>
        <b/>
        <sz val="11"/>
        <rFont val="Calibri"/>
        <family val="2"/>
        <scheme val="minor"/>
      </rPr>
      <t>e/Person]</t>
    </r>
  </si>
  <si>
    <r>
      <t>besucherbezogene Treibhausgasintensität
[kg CO</t>
    </r>
    <r>
      <rPr>
        <b/>
        <vertAlign val="subscript"/>
        <sz val="11"/>
        <rFont val="Calibri"/>
        <family val="2"/>
        <scheme val="minor"/>
      </rPr>
      <t>2</t>
    </r>
    <r>
      <rPr>
        <b/>
        <sz val="11"/>
        <rFont val="Calibri"/>
        <family val="2"/>
        <scheme val="minor"/>
      </rPr>
      <t>e/Person]</t>
    </r>
  </si>
  <si>
    <r>
      <t>Emissionen 
[t CO</t>
    </r>
    <r>
      <rPr>
        <b/>
        <vertAlign val="subscript"/>
        <sz val="11"/>
        <rFont val="Calibri"/>
        <family val="2"/>
        <scheme val="minor"/>
      </rPr>
      <t>2</t>
    </r>
    <r>
      <rPr>
        <b/>
        <sz val="11"/>
        <rFont val="Calibri"/>
        <family val="2"/>
        <scheme val="minor"/>
      </rPr>
      <t>e]</t>
    </r>
  </si>
  <si>
    <r>
      <t>CO</t>
    </r>
    <r>
      <rPr>
        <b/>
        <vertAlign val="subscript"/>
        <sz val="11"/>
        <color theme="1"/>
        <rFont val="Calibri"/>
        <family val="2"/>
        <scheme val="minor"/>
      </rPr>
      <t>2</t>
    </r>
  </si>
  <si>
    <r>
      <t>CH</t>
    </r>
    <r>
      <rPr>
        <b/>
        <vertAlign val="subscript"/>
        <sz val="11"/>
        <color theme="1"/>
        <rFont val="Calibri"/>
        <family val="2"/>
        <scheme val="minor"/>
      </rPr>
      <t>4</t>
    </r>
  </si>
  <si>
    <r>
      <t>N</t>
    </r>
    <r>
      <rPr>
        <b/>
        <vertAlign val="subscript"/>
        <sz val="11"/>
        <color theme="1"/>
        <rFont val="Calibri"/>
        <family val="2"/>
        <scheme val="minor"/>
      </rPr>
      <t>2</t>
    </r>
    <r>
      <rPr>
        <b/>
        <sz val="11"/>
        <color theme="1"/>
        <rFont val="Calibri"/>
        <family val="2"/>
        <scheme val="minor"/>
      </rPr>
      <t>O</t>
    </r>
  </si>
  <si>
    <r>
      <t>SF</t>
    </r>
    <r>
      <rPr>
        <b/>
        <vertAlign val="subscript"/>
        <sz val="11"/>
        <color theme="1"/>
        <rFont val="Calibri"/>
        <family val="2"/>
        <scheme val="minor"/>
      </rPr>
      <t>6</t>
    </r>
  </si>
  <si>
    <r>
      <t>NF</t>
    </r>
    <r>
      <rPr>
        <b/>
        <vertAlign val="subscript"/>
        <sz val="11"/>
        <color theme="1"/>
        <rFont val="Calibri"/>
        <family val="2"/>
        <scheme val="minor"/>
      </rPr>
      <t>3</t>
    </r>
  </si>
  <si>
    <t>Hinweis: Bei Nutzung des Faktors "Fernwärme (Wert Energieversorger)" ist eine Einzelgasausweisung nicht möglich.</t>
  </si>
  <si>
    <t>Hinweis: Die Emissionen einzelner Treibhausgase in Scope 2 werden nach Netzansatz (location-based Methode) berechnet. Zudem ist bei Nutzung des Faktors "Fernwärme (Wert Energieversorger)" eine Einzelgasausweisung nicht möglich.</t>
  </si>
  <si>
    <r>
      <t xml:space="preserve">In diesem Tabellenblatt sind für alle zuvor definierten Gliederungselemente die Emissionquellen der KlimaBilanzKultur zu erfassen. Die Erfassung gliedert sich in mehrere "Themenbereichen". Zu jedem Themenbereich gibt es eine separate Erfassungstabelle mit jeweils themenspezifischen Erfassungshinweisen. Weitere Hilfestellungen zur Datensammlung sind der Anleitung zum </t>
    </r>
    <r>
      <rPr>
        <sz val="11"/>
        <rFont val="Calibri"/>
        <family val="2"/>
        <scheme val="minor"/>
      </rPr>
      <t>CO</t>
    </r>
    <r>
      <rPr>
        <vertAlign val="subscript"/>
        <sz val="11"/>
        <rFont val="Calibri"/>
        <family val="2"/>
        <scheme val="minor"/>
      </rPr>
      <t>2</t>
    </r>
    <r>
      <rPr>
        <i/>
        <sz val="11"/>
        <rFont val="Calibri"/>
        <family val="2"/>
        <scheme val="minor"/>
      </rPr>
      <t>-Kulturrechner (Kapitel 3.4. ff.) zu entnehmen.</t>
    </r>
  </si>
  <si>
    <r>
      <t xml:space="preserve">Die Erfassung von weiteren Emissionquellen im Rahmen der Erweiterten Bilanz ist </t>
    </r>
    <r>
      <rPr>
        <b/>
        <i/>
        <sz val="11"/>
        <rFont val="Calibri"/>
        <family val="2"/>
        <scheme val="minor"/>
      </rPr>
      <t>optional</t>
    </r>
    <r>
      <rPr>
        <i/>
        <sz val="11"/>
        <rFont val="Calibri"/>
        <family val="2"/>
        <scheme val="minor"/>
      </rPr>
      <t xml:space="preserve">. Emissionsquellen der KBK+, insbesondere die </t>
    </r>
    <r>
      <rPr>
        <b/>
        <i/>
        <sz val="11"/>
        <rFont val="Calibri"/>
        <family val="2"/>
        <scheme val="minor"/>
      </rPr>
      <t>Anreise von Besuchenden</t>
    </r>
    <r>
      <rPr>
        <i/>
        <sz val="11"/>
        <rFont val="Calibri"/>
        <family val="2"/>
        <scheme val="minor"/>
      </rPr>
      <t xml:space="preserve"> zu Ihrer Einrichtung oder ggf. auch die Berücksichtigung </t>
    </r>
    <r>
      <rPr>
        <b/>
        <i/>
        <sz val="11"/>
        <rFont val="Calibri"/>
        <family val="2"/>
        <scheme val="minor"/>
      </rPr>
      <t>relevanter Stoffströme (Materialverbräuche)</t>
    </r>
    <r>
      <rPr>
        <i/>
        <sz val="11"/>
        <rFont val="Calibri"/>
        <family val="2"/>
        <scheme val="minor"/>
      </rPr>
      <t xml:space="preserve"> können die Höhe Ihrer </t>
    </r>
    <r>
      <rPr>
        <sz val="11"/>
        <rFont val="Calibri"/>
        <family val="2"/>
        <scheme val="minor"/>
      </rPr>
      <t>CO</t>
    </r>
    <r>
      <rPr>
        <vertAlign val="subscript"/>
        <sz val="11"/>
        <rFont val="Calibri"/>
        <family val="2"/>
        <scheme val="minor"/>
      </rPr>
      <t>2</t>
    </r>
    <r>
      <rPr>
        <i/>
        <sz val="11"/>
        <rFont val="Calibri"/>
        <family val="2"/>
        <scheme val="minor"/>
      </rPr>
      <t xml:space="preserve">-Bilanz wesentlich beeinflussen. Wie auch bei der KBK gliedert sich die Erfassung in mehrere "Themenbereiche". Zu jedem Themenbereich gibt es eine separate Erfassungstabelle mit jeweils themenspezifischen Erfassungshinweisen. Weitere Details zur Datensammlung sind der Anleitung zum </t>
    </r>
    <r>
      <rPr>
        <sz val="11"/>
        <rFont val="Calibri"/>
        <family val="2"/>
        <scheme val="minor"/>
      </rPr>
      <t>CO</t>
    </r>
    <r>
      <rPr>
        <vertAlign val="subscript"/>
        <sz val="11"/>
        <rFont val="Calibri"/>
        <family val="2"/>
        <scheme val="minor"/>
      </rPr>
      <t>2</t>
    </r>
    <r>
      <rPr>
        <i/>
        <sz val="11"/>
        <rFont val="Calibri"/>
        <family val="2"/>
        <scheme val="minor"/>
      </rPr>
      <t>-Kulturrechner (Kapitel 3.6) zu entnehmen.</t>
    </r>
  </si>
  <si>
    <r>
      <t>Tools zum CO</t>
    </r>
    <r>
      <rPr>
        <b/>
        <vertAlign val="subscript"/>
        <sz val="12"/>
        <color theme="1"/>
        <rFont val="Calibri"/>
        <family val="2"/>
        <scheme val="minor"/>
      </rPr>
      <t>2</t>
    </r>
    <r>
      <rPr>
        <b/>
        <sz val="12"/>
        <color theme="1"/>
        <rFont val="Calibri"/>
        <family val="2"/>
        <scheme val="minor"/>
      </rPr>
      <t>-Kulturrechner</t>
    </r>
  </si>
  <si>
    <t>🔗 Website des Ministeriums für Wissenschaft, Forschung und Kunst Baden-Württemberg</t>
  </si>
  <si>
    <t>🔗 Website der Kulturministerkonferenz</t>
  </si>
  <si>
    <t xml:space="preserve">Unterstützend zur Erstellung und Analyse der Treibhausgasbilanzierung können Sie die Tools „DistanzChecker“ und „Jahresvergleich“ verwenden, welche auf der Website der Kulturministerkonferenz wie auch auf der Website des Ministeriums für Wissenschaft, Forschung und Kunst Baden-Württemberg zu finden ist: </t>
  </si>
  <si>
    <t></t>
  </si>
  <si>
    <r>
      <t>Berechnung der
Nicht</t>
    </r>
    <r>
      <rPr>
        <sz val="11"/>
        <color theme="1"/>
        <rFont val="Calibri"/>
        <family val="2"/>
        <scheme val="minor"/>
      </rPr>
      <t>-CO</t>
    </r>
    <r>
      <rPr>
        <vertAlign val="subscript"/>
        <sz val="11"/>
        <color theme="1"/>
        <rFont val="Calibri"/>
        <family val="2"/>
        <scheme val="minor"/>
      </rPr>
      <t>2</t>
    </r>
    <r>
      <rPr>
        <i/>
        <sz val="11"/>
        <color theme="1"/>
        <rFont val="Calibri"/>
        <family val="2"/>
        <scheme val="minor"/>
      </rPr>
      <t>-Effekte durch Flugreisen
(informativ, nicht ergebnisrelevant)</t>
    </r>
  </si>
  <si>
    <t>Vermiedene Treibhausgasemissionen durch Strom-Eigenerzeugung aus Photovoltaik</t>
  </si>
  <si>
    <r>
      <t xml:space="preserve">Erfassen Sie hier die Emissionen aus beauftragten Speditionsleistungen, die nicht in eigenen Fahrzeugen durchgeführt wurden und für Ihre Einrichtung finanziell aufgekommen ist.
Viele Speditionsdienstleister weisen die </t>
    </r>
    <r>
      <rPr>
        <sz val="11"/>
        <rFont val="Calibri"/>
        <family val="2"/>
        <scheme val="minor"/>
      </rPr>
      <t>CO</t>
    </r>
    <r>
      <rPr>
        <vertAlign val="subscript"/>
        <sz val="11"/>
        <rFont val="Calibri"/>
        <family val="2"/>
        <scheme val="minor"/>
      </rPr>
      <t>2</t>
    </r>
    <r>
      <rPr>
        <i/>
        <sz val="11"/>
        <rFont val="Calibri"/>
        <family val="2"/>
        <scheme val="minor"/>
      </rPr>
      <t>e-Emissionen des Transports direkt aus, sie können diese direkt als "Extern ermittelte Emissionen" eintragen. Alternativ können Sie die Emissionen auch selbst berechnen: Die Eingabe erfolgt dann in Tonnenkilometern (tkm) in Verbindung mit dem jeweiligen Verkehrsmittel, das Sie im Dropdown-Menü auswählen können.
Nicht</t>
    </r>
    <r>
      <rPr>
        <sz val="11"/>
        <rFont val="Calibri"/>
        <family val="2"/>
        <scheme val="minor"/>
      </rPr>
      <t>-CO</t>
    </r>
    <r>
      <rPr>
        <vertAlign val="subscript"/>
        <sz val="11"/>
        <rFont val="Calibri"/>
        <family val="2"/>
        <scheme val="minor"/>
      </rPr>
      <t>2</t>
    </r>
    <r>
      <rPr>
        <sz val="11"/>
        <rFont val="Calibri"/>
        <family val="2"/>
        <scheme val="minor"/>
      </rPr>
      <t>-</t>
    </r>
    <r>
      <rPr>
        <i/>
        <sz val="11"/>
        <rFont val="Calibri"/>
        <family val="2"/>
        <scheme val="minor"/>
      </rPr>
      <t xml:space="preserve">Effekte durch Flugreisen (indirekte Auswirkungen von Flugreisen auf den Treibhauseffekt, z.B. Kondensstreifenbildung) werden separat berechnet und ausgewiesen (Spalte L). Sie fließen nicht in das Gesamtergebnis nach KBK ein.
</t>
    </r>
  </si>
  <si>
    <r>
      <t xml:space="preserve">Prozentualer Anteil </t>
    </r>
    <r>
      <rPr>
        <b/>
        <sz val="10"/>
        <rFont val="Calibri"/>
        <family val="2"/>
        <scheme val="minor"/>
      </rPr>
      <t>(Summe Scope 1-3)</t>
    </r>
    <r>
      <rPr>
        <b/>
        <sz val="11"/>
        <rFont val="Calibri"/>
        <family val="2"/>
        <scheme val="minor"/>
      </rPr>
      <t xml:space="preserve"> [%]</t>
    </r>
  </si>
  <si>
    <r>
      <t xml:space="preserve">Prozentualer Anteil </t>
    </r>
    <r>
      <rPr>
        <b/>
        <sz val="10"/>
        <rFont val="Calibri"/>
        <family val="2"/>
        <scheme val="minor"/>
      </rPr>
      <t>(KlimaBilanzKultur)</t>
    </r>
    <r>
      <rPr>
        <b/>
        <sz val="11"/>
        <rFont val="Calibri"/>
        <family val="2"/>
        <scheme val="minor"/>
      </rPr>
      <t xml:space="preserve">
[%]</t>
    </r>
  </si>
  <si>
    <r>
      <t xml:space="preserve">Prozentualer Anteil </t>
    </r>
    <r>
      <rPr>
        <b/>
        <sz val="10"/>
        <rFont val="Calibri"/>
        <family val="2"/>
        <scheme val="minor"/>
      </rPr>
      <t>(Summe: KBK und KBK+)</t>
    </r>
    <r>
      <rPr>
        <b/>
        <sz val="11"/>
        <rFont val="Calibri"/>
        <family val="2"/>
        <scheme val="minor"/>
      </rPr>
      <t xml:space="preserve">
[%]</t>
    </r>
  </si>
  <si>
    <r>
      <t xml:space="preserve">In Kooperation mit einem Expertengremium wurde ein bundeseinheitlicher </t>
    </r>
    <r>
      <rPr>
        <b/>
        <sz val="11"/>
        <rFont val="Calibri"/>
        <family val="2"/>
        <scheme val="minor"/>
      </rPr>
      <t>CO</t>
    </r>
    <r>
      <rPr>
        <b/>
        <vertAlign val="subscript"/>
        <sz val="11"/>
        <rFont val="Calibri"/>
        <family val="2"/>
        <scheme val="minor"/>
      </rPr>
      <t>2</t>
    </r>
    <r>
      <rPr>
        <b/>
        <sz val="11"/>
        <rFont val="Calibri"/>
        <family val="2"/>
        <scheme val="minor"/>
      </rPr>
      <t>-Bilanzierungstandard für Kultureinrichtungen (CO</t>
    </r>
    <r>
      <rPr>
        <b/>
        <vertAlign val="subscript"/>
        <sz val="11"/>
        <rFont val="Calibri"/>
        <family val="2"/>
        <scheme val="minor"/>
      </rPr>
      <t>2</t>
    </r>
    <r>
      <rPr>
        <b/>
        <sz val="11"/>
        <rFont val="Calibri"/>
        <family val="2"/>
        <scheme val="minor"/>
      </rPr>
      <t xml:space="preserve">-Kulturstandard) </t>
    </r>
    <r>
      <rPr>
        <sz val="11"/>
        <rFont val="Calibri"/>
        <family val="2"/>
        <scheme val="minor"/>
      </rPr>
      <t>entwickelt, orientiert am Greenhouse Gas Protocol (GHG Protocol). Der CO</t>
    </r>
    <r>
      <rPr>
        <vertAlign val="subscript"/>
        <sz val="11"/>
        <rFont val="Calibri"/>
        <family val="2"/>
        <scheme val="minor"/>
      </rPr>
      <t>2</t>
    </r>
    <r>
      <rPr>
        <sz val="11"/>
        <rFont val="Calibri"/>
        <family val="2"/>
        <scheme val="minor"/>
      </rPr>
      <t>-Bilanzierungsstandard einschließlich CO</t>
    </r>
    <r>
      <rPr>
        <vertAlign val="subscript"/>
        <sz val="11"/>
        <rFont val="Calibri"/>
        <family val="2"/>
        <scheme val="minor"/>
      </rPr>
      <t>2</t>
    </r>
    <r>
      <rPr>
        <sz val="11"/>
        <rFont val="Calibri"/>
        <family val="2"/>
        <scheme val="minor"/>
      </rPr>
      <t>-Kulturrechner und Anleitung zum CO</t>
    </r>
    <r>
      <rPr>
        <vertAlign val="subscript"/>
        <sz val="11"/>
        <rFont val="Calibri"/>
        <family val="2"/>
        <scheme val="minor"/>
      </rPr>
      <t>2</t>
    </r>
    <r>
      <rPr>
        <sz val="11"/>
        <rFont val="Calibri"/>
        <family val="2"/>
        <scheme val="minor"/>
      </rPr>
      <t>-Kulturrechner wurde im Kulturpolitischen Spitzengespräch am 11. Oktober 2023 von Bund, Ländern und Kommunen mitgetragen und zur Anwendung im Kulturbereich empfohlen. Er wurde 2025 überprüft, aktualisiert und erneut von Bund, Ländern und Kommunalen Spitzenverbänden zur Anwendung empfohlen.
Dieses Tool dient der Berechnung des CO</t>
    </r>
    <r>
      <rPr>
        <vertAlign val="subscript"/>
        <sz val="11"/>
        <rFont val="Calibri"/>
        <family val="2"/>
        <scheme val="minor"/>
      </rPr>
      <t>2</t>
    </r>
    <r>
      <rPr>
        <sz val="11"/>
        <rFont val="Calibri"/>
        <family val="2"/>
        <scheme val="minor"/>
      </rPr>
      <t>-Fußabdrucks von Kultureinrichtungen gemäß dem CO</t>
    </r>
    <r>
      <rPr>
        <vertAlign val="subscript"/>
        <sz val="11"/>
        <rFont val="Calibri"/>
        <family val="2"/>
        <scheme val="minor"/>
      </rPr>
      <t>2</t>
    </r>
    <r>
      <rPr>
        <sz val="11"/>
        <rFont val="Calibri"/>
        <family val="2"/>
        <scheme val="minor"/>
      </rPr>
      <t xml:space="preserve">-Kulturstandard V1.1.
Weitere Informationen zum Bilanzierungsstandard finden Sie im Standarddokument.
</t>
    </r>
  </si>
  <si>
    <t>Die Ergebnisse können Sie schließlich im Reiter "Ergebnisse" einsehen. Beachten Sie bitte, dass die Ergebnisse jeweils mit Scope-2-Berechnungsmethode "location-based" und "market-based" separat dargestellt werden.</t>
  </si>
  <si>
    <r>
      <t>Umsetzung der Änderungsanforderungen entsprechend CO</t>
    </r>
    <r>
      <rPr>
        <vertAlign val="subscript"/>
        <sz val="11"/>
        <rFont val="Calibri"/>
        <family val="2"/>
        <scheme val="minor"/>
      </rPr>
      <t>2</t>
    </r>
    <r>
      <rPr>
        <sz val="11"/>
        <rFont val="Calibri"/>
        <family val="2"/>
        <scheme val="minor"/>
      </rPr>
      <t>-Kulturstandard V1.1, insbesondere: Parallele Berechnung und Ergebnisausweisung nach location-based Methode und market-based Methode bei Strombezug; Möglichkeit zur Angabe der Auslastung bei PKW-Fahrten sowie der Sitzklasse bei Flugreisen; Separate Ausweisung von biogenen CO</t>
    </r>
    <r>
      <rPr>
        <vertAlign val="subscript"/>
        <sz val="11"/>
        <rFont val="Calibri"/>
        <family val="2"/>
        <scheme val="minor"/>
      </rPr>
      <t>2</t>
    </r>
    <r>
      <rPr>
        <sz val="11"/>
        <rFont val="Calibri"/>
        <family val="2"/>
        <scheme val="minor"/>
      </rPr>
      <t>-Emissionen (Scope 1) und einzelnen Treibhausgasen (Scope 1 und 2) sowie Nicht-CO</t>
    </r>
    <r>
      <rPr>
        <vertAlign val="subscript"/>
        <sz val="11"/>
        <rFont val="Calibri"/>
        <family val="2"/>
        <scheme val="minor"/>
      </rPr>
      <t>2</t>
    </r>
    <r>
      <rPr>
        <sz val="11"/>
        <rFont val="Calibri"/>
        <family val="2"/>
        <scheme val="minor"/>
      </rPr>
      <t>-Effekten bei Flugreisen</t>
    </r>
  </si>
  <si>
    <r>
      <t>Dieses Tool wurde im Auftrag des Ministerium für Wissenschaft, Forschung und Kunst Baden-Württemberg (MWK) und des Beauftragten der Bundesregierung für Kultur und Medien (BKM) von der KlimAktiv gGmbH in Kooperation mit der Thema 1 GmbH auf Grundlage des Ergebnispapiers der Expertengruppe CO</t>
    </r>
    <r>
      <rPr>
        <vertAlign val="subscript"/>
        <sz val="11"/>
        <rFont val="Calibri"/>
        <family val="2"/>
        <scheme val="minor"/>
      </rPr>
      <t>2</t>
    </r>
    <r>
      <rPr>
        <sz val="11"/>
        <rFont val="Calibri"/>
        <family val="2"/>
        <scheme val="minor"/>
      </rPr>
      <t>-Bilanzierung in Kultureinrichtungen vom 26. April 2023 entwickelt. Die Weiterentwicklungen und Aktualisierungen nach 2023 wurden durch die KlimAktiv gGmbH umgesetzt.</t>
    </r>
  </si>
  <si>
    <r>
      <t xml:space="preserve">Anzahl der Mitarbeitenden </t>
    </r>
    <r>
      <rPr>
        <b/>
        <sz val="9"/>
        <rFont val="Calibri"/>
        <family val="2"/>
        <scheme val="minor"/>
      </rPr>
      <t>(Personenzahl im Jahresdurchschnitt)</t>
    </r>
  </si>
  <si>
    <t>Erfassen Sie die strombezogenen Emissionsquellen der Liegenschaften, über die Sie operative Kontrolle haben (Eigentum und zur Miete).
Bei externem Strombezug wird im Ergebnis zwischen market-based Methode (= Emissionen gemäß Vertragsstrommix) und location-based Methode (= Emissionen gemäß bundesdeutschem Strommix)  differenziert. Wählen Sie "Strombezug (Deutschland)" und tragen Sie den Scope-2-Emissionsfaktor des von Ihnen bezogenen Stromprodukts ein (Spalte I). Sollte kein entsprechender Emissionsfaktor ermittelbar sein, lassen Sie das entsprechende Eingabefeld leer. Es wird dann ersatzweise auch in der market-based Methode mit dem durchschnittlichen Emissionsfaktor des deutschen Strommixes (= location-based Methode) gerechnet.
Bei eigener Stromerzeugung durch Photovoltaik, wählen Sie "Strom Eigenerzeugung (Photovoltaik)" und tragen Sie den gesamten eigenerzeugten Strom ein, unabhängig davon, ob dieser vor Ort verbraucht oder ins Netz eingespeist wird.</t>
  </si>
  <si>
    <t xml:space="preserve">Erfassen Sie hier die Jahresverbräuche von Fahrzeugen in Verantwortung Ihrer Einrichtung (Eigentum und Leasing). Fahrten mit privaten, temporär angemieteten oder CarSharing Fahrzeugen werden unter 'Geschäftsfahrten' bzw. 'Pendeln der Mitarbeitenden' erfasst.
Umfasst Ihr Fuhrpark auch Elektrofahrzeuge, erfassen Sie bitte nur den extern geladenen Strom (Strom aus Ladevorgängen an eigenen Ladesäulen wird bereits über den Themenbereich "Strom" erfasst). Wählen Sie "Strom (externes Laden, Deutschland)" und tragen Sie in Spalte I den Scope-2-Emissionsfaktor des jeweiligen Stromprodukts ein (z.B. wenn Grünstrom getankt wird). Sollte der Scope-2-Emissionsfaktor nicht ermittelbar sein, lassen Sie das entsprechende Eingabefeld leer. Es wird dann ersatzweise auch in der market-based Methode mit dem durchschnittlichen Emissionsfaktor des deutschen Strommixes (= location-based Methode) gerechnet. </t>
  </si>
  <si>
    <r>
      <t>Bitte erfassen Sie hier die Jahresfahrleistungen durch Geschäftsreisen mit privaten, temporär angemieteten oder CarSharing Fahrzeugen sowie mit öffentlichen Verkehrsmitteln und Flugreisen. Die Erfassungseinheit „Personenkilometer“ lässt sich durch Multiplikation der Personenanzahl und der jeweiligen Distanz berechnen. Bei PKW-Fahrten können Sie optional die Auslastung angeben (Spalte I).
Die erforderlichen Daten liegen häufig in Form von Reisekostenabrechnungen vor. Ist keine Entfernung angeben, können Sie diese mittels eines Routenplaners ermitteln. Zudem können Sie auch durch Externe, wie beispielsweise Ihr Reisebüro, ermittelte Emissionen direkt eintragen (Dropdown-Auswahl: "Extern ermittelte Emissionen").
Auch die Anzahl der geschäftlichen Übernachtungen in Hotels oder Privatunterkünften ist hier zu erfassen. Bei Hotels wird zwischen Übernachtungen innerhalb und außerhalb Deutschlands unterschieden.
Nicht</t>
    </r>
    <r>
      <rPr>
        <sz val="11"/>
        <rFont val="Calibri"/>
        <family val="2"/>
        <scheme val="minor"/>
      </rPr>
      <t>-CO</t>
    </r>
    <r>
      <rPr>
        <vertAlign val="subscript"/>
        <sz val="11"/>
        <rFont val="Calibri"/>
        <family val="2"/>
        <scheme val="minor"/>
      </rPr>
      <t>2</t>
    </r>
    <r>
      <rPr>
        <sz val="11"/>
        <rFont val="Calibri"/>
        <family val="2"/>
        <scheme val="minor"/>
      </rPr>
      <t>-</t>
    </r>
    <r>
      <rPr>
        <i/>
        <sz val="11"/>
        <rFont val="Calibri"/>
        <family val="2"/>
        <scheme val="minor"/>
      </rPr>
      <t>Effekte durch Flugreisen (indirekte Auswirkungen von Flugreisen auf den Treibhauseffekt, z.B. Kondensstreifenbildung) werden separat berechnet und ausgewiesen (Spalte M). Sie fließen nicht in das Gesamtergebnis nach KBK ein.</t>
    </r>
  </si>
  <si>
    <t>Bitte erfassen Sie hier die jährliche Summe der Personenkilometer je Verkehrsmittel für das Pendeln der eigenen Mitarbeitenden zwischen dem Wohnort und der Arbeitsstätte (Hin- und Rückfahrt) in Fahrzeugen, die nicht durch Ihre Einrichtung betrieben werden. Bei PKW-Fahrten können Sie optional die Auslastung angeben (Spalte I). Sollten keine belastbaren Daten vorliegen, können Sie die Emissionen über eine Anfahrtswegpauschale anhand der Anzahl der Mitarbeitenden abschätzen.
Um optional die Treibhausgasemissionen durch "mobiles Arbeiten" zu berechnen, erfassen Sie bitte die jährliche Summe der Personenarbeitstage, an denen Ihre Mitarbeitenden von Büroarbeitsplätzen außerhalb der Geschäftsräume Ihrer Einrichtung aus gearbeitet haben (z.B. Homeoffice, Coworking-Space).</t>
  </si>
  <si>
    <r>
      <t>Bitte erfassen Sie alle Reisen inkl. Übernachtungen von Personen, die nicht fest bei Ihrer Kultureinrichtung angestellt sind, jedoch direkt von Ihnen für eine Dienstleistung beauftragt werden und in diesem Zusammenhang reisen. Dies umfasst z.B. die Reisetätigkeiten von Künstlerinnen und Künstlern, freien Mitarbeitenden oder Kurieren. Nicht betroffen sind Reisen des Personals von Drittfirmen, die durch die Kultureinrichtung beauftragt werden, und keinen Bezug zum Kerngeschäft der Einrichtung haben. Geben Sie bitte bei der Eingabe das Verkehrsmittel und die zurückgelegte Strecke an. Bei PKW-Fahrten können Sie optional die Auslastung angeben (Spalte I). Zudem werden analog zu den Geschäftsreisen auch hier Übernachtungen in Hotels oder Privatunterkünften erfasst.
Nicht</t>
    </r>
    <r>
      <rPr>
        <sz val="11"/>
        <rFont val="Calibri"/>
        <family val="2"/>
        <scheme val="minor"/>
      </rPr>
      <t>-CO</t>
    </r>
    <r>
      <rPr>
        <vertAlign val="subscript"/>
        <sz val="11"/>
        <rFont val="Calibri"/>
        <family val="2"/>
        <scheme val="minor"/>
      </rPr>
      <t>2</t>
    </r>
    <r>
      <rPr>
        <sz val="11"/>
        <rFont val="Calibri"/>
        <family val="2"/>
        <scheme val="minor"/>
      </rPr>
      <t>-</t>
    </r>
    <r>
      <rPr>
        <i/>
        <sz val="11"/>
        <rFont val="Calibri"/>
        <family val="2"/>
        <scheme val="minor"/>
      </rPr>
      <t>Effekte durch Flugreisen  (indirekte Auswirkungen von Flugreisen auf den Treibhauseffekt, z.B. Kondensstreifenbildung) werden separat berechnet und ausgewiesen (Spalte M). Sie fließen nicht in das Gesamtergebnis nach KBK ein.</t>
    </r>
  </si>
  <si>
    <r>
      <t xml:space="preserve">Bitte erfassen Sie hier die Emissionen durch die Anreise der Besucherinnen und Besucher zu Ihrer Einrichtung und Ihren Veranstaltungen. Tragen Sie je Verkehrsmittel die Besucheranzahl ein sowie die durchschnittliche einfache Anreisedistanz ein. Bei PKW-Fahrten können Sie optional die Auslastung angeben (Spalte H).
Der Anteil der Besuchenden je Verkehrsmittel sowie die durchschnittliche Anreisedistanz je Verkehrsmittel lassen sich am besten mittels Befragungen ermitteln und auf die Gesamtzahl der jährlichen Besucherinnen und Besucher hochrechnen. Detaillierte Hinweise für die Ermittlung und Erfassung der Daten zur Anreise der Besuchenden finden Sie in der Anleitung zum </t>
    </r>
    <r>
      <rPr>
        <sz val="11"/>
        <rFont val="Calibri"/>
        <family val="2"/>
        <scheme val="minor"/>
      </rPr>
      <t>CO</t>
    </r>
    <r>
      <rPr>
        <vertAlign val="subscript"/>
        <sz val="11"/>
        <rFont val="Calibri"/>
        <family val="2"/>
        <scheme val="minor"/>
      </rPr>
      <t>2</t>
    </r>
    <r>
      <rPr>
        <i/>
        <sz val="11"/>
        <rFont val="Calibri"/>
        <family val="2"/>
        <scheme val="minor"/>
      </rPr>
      <t>-Kulturrechner (Kapitel 3.6.1).
Nicht</t>
    </r>
    <r>
      <rPr>
        <sz val="11"/>
        <rFont val="Calibri"/>
        <family val="2"/>
        <scheme val="minor"/>
      </rPr>
      <t>-CO</t>
    </r>
    <r>
      <rPr>
        <vertAlign val="subscript"/>
        <sz val="11"/>
        <rFont val="Calibri"/>
        <family val="2"/>
        <scheme val="minor"/>
      </rPr>
      <t>2</t>
    </r>
    <r>
      <rPr>
        <sz val="11"/>
        <rFont val="Calibri"/>
        <family val="2"/>
        <scheme val="minor"/>
      </rPr>
      <t>-</t>
    </r>
    <r>
      <rPr>
        <i/>
        <sz val="11"/>
        <rFont val="Calibri"/>
        <family val="2"/>
        <scheme val="minor"/>
      </rPr>
      <t>Effekte durch Flugreisen (indirekte Auswirkungen von Flugreisen auf den Treibhauseffekt, z.B. Kondensstreifenbildung) werden separat berechnet und ausgewiesen (Spalte M). Sie fließen nicht in das Gesamtergebnis nach KBK+ ein.</t>
    </r>
  </si>
  <si>
    <t>Bitte erfassen Sie hier die Emissionen durch die eingekaufte IT-Dienstleistung „Cloud-Storage“. Die Eingabe erfolgt in Gigabyte (Hinweis: 1 TB = 1.000 GB) gebuchten Cloud-Speicherplatz unabhängig davon, ob dieser auch vollumfänglich genutzt wird. Sollte Ihnen der Cloud-Speicherplatz durch Dritte kostenfrei zur Verfügung gestellt werden (z.B. als staatliche Einrichtung) können Sie den zur Verfügung gestellten Speicherplatz dennoch hier erfassen.
Sie können auch direkt den Emissionswert als „Extern ermittelte Emissionen“ eintragen, wenn Ihnen diese Information durch Ihren Cloud-Dienstleister bereitgestellt wird.</t>
  </si>
  <si>
    <r>
      <t>Sie haben die Möglichkeit, das Tool um eigene Emissionsfaktoren zu erweitern, beispielsweise, wenn das von Ihnen verwendete Kühlmittel nicht in der Emissionsfaktorenliste aufgeführt ist* oder Sie über die Systematik des</t>
    </r>
    <r>
      <rPr>
        <sz val="11"/>
        <rFont val="Calibri"/>
        <family val="2"/>
        <scheme val="minor"/>
      </rPr>
      <t xml:space="preserve"> CO</t>
    </r>
    <r>
      <rPr>
        <vertAlign val="subscript"/>
        <sz val="11"/>
        <rFont val="Calibri"/>
        <family val="2"/>
        <scheme val="minor"/>
      </rPr>
      <t>2</t>
    </r>
    <r>
      <rPr>
        <i/>
        <sz val="11"/>
        <rFont val="Calibri"/>
        <family val="2"/>
        <scheme val="minor"/>
      </rPr>
      <t xml:space="preserve">-Kulturstandards hinaus weitere Emissionsquellen erfassen möchten. Bitte beachten Sie jedoch, dass bei Verwendung eigener Emissionsfaktoren mit Ausnahme des Themenbereichs Kühl- und Kältemittel keine Konformität zum </t>
    </r>
    <r>
      <rPr>
        <sz val="11"/>
        <rFont val="Calibri"/>
        <family val="2"/>
        <scheme val="minor"/>
      </rPr>
      <t>CO</t>
    </r>
    <r>
      <rPr>
        <vertAlign val="subscript"/>
        <sz val="11"/>
        <rFont val="Calibri"/>
        <family val="2"/>
        <scheme val="minor"/>
      </rPr>
      <t>2</t>
    </r>
    <r>
      <rPr>
        <i/>
        <sz val="11"/>
        <rFont val="Calibri"/>
        <family val="2"/>
        <scheme val="minor"/>
      </rPr>
      <t xml:space="preserve">-Kulturstandard mehr gegeben ist. 
Zum Hinzufügen weitere Emissionsfaktoren, gehen Sie bitte wie folgt vor:
1. Scrollen Sie in diesem Tabellenblatt zu einer leeren Zeile in der Emissionsfaktorentabelle des jeweiligen Themenbereichs, dem der Emissionsfaktor zugeordnet werden soll (je Tabelle sind 10 leere Zeilen vorhanden, Sie können jedoch weitere Zeilen einfügen: Markieren Sie die jeweils </t>
    </r>
    <r>
      <rPr>
        <i/>
        <u/>
        <sz val="11"/>
        <rFont val="Calibri"/>
        <family val="2"/>
        <scheme val="minor"/>
      </rPr>
      <t>letzte</t>
    </r>
    <r>
      <rPr>
        <i/>
        <sz val="11"/>
        <rFont val="Calibri"/>
        <family val="2"/>
        <scheme val="minor"/>
      </rPr>
      <t xml:space="preserve"> Tabellenspalte und fügen Sie darüber eine Zeile ein)
2. Benennen Sie den Faktor (Spalte E), z.B. mit dem Namen des Kühlmittels
3. Tragen Sie die Erfassungseinheit ein (Spalte F)
4. Tragen den Wert des Emissionsfaktors für Scope 1, 2 und 3 ein sowie ggf. für die einzelnen Treibhausgase (Scope 1 und 2), biogene </t>
    </r>
    <r>
      <rPr>
        <sz val="11"/>
        <rFont val="Calibri"/>
        <family val="2"/>
        <scheme val="minor"/>
      </rPr>
      <t>CO</t>
    </r>
    <r>
      <rPr>
        <vertAlign val="subscript"/>
        <sz val="11"/>
        <rFont val="Calibri"/>
        <family val="2"/>
        <scheme val="minor"/>
      </rPr>
      <t>2</t>
    </r>
    <r>
      <rPr>
        <i/>
        <sz val="11"/>
        <rFont val="Calibri"/>
        <family val="2"/>
        <scheme val="minor"/>
      </rPr>
      <t>-Emissionen (Scope 1) und Nicht</t>
    </r>
    <r>
      <rPr>
        <sz val="11"/>
        <rFont val="Calibri"/>
        <family val="2"/>
        <scheme val="minor"/>
      </rPr>
      <t>-CO</t>
    </r>
    <r>
      <rPr>
        <vertAlign val="subscript"/>
        <sz val="11"/>
        <rFont val="Calibri"/>
        <family val="2"/>
        <scheme val="minor"/>
      </rPr>
      <t>2</t>
    </r>
    <r>
      <rPr>
        <i/>
        <sz val="11"/>
        <rFont val="Calibri"/>
        <family val="2"/>
        <scheme val="minor"/>
      </rPr>
      <t xml:space="preserve">-Effekte (bei Flügen)
5. Tragen Sie die Quelle(n) für den Emissionsfaktor je Scope ein
Der Emissionsfaktor erscheint im Anschluss im Dropdown-Menü des jeweiligen Themenbereichs unter „Emissionsquelle/Aktivität“ und kann für die Berechnung verwendet werden.
*Wenn das von Ihnen verwendete Kühlmittel nicht im Dropdown-Menü enthalten ist und Sie selbst den Emissionsfaktor hinzufügen, soll der Emissionsfaktor gemäß </t>
    </r>
    <r>
      <rPr>
        <sz val="11"/>
        <rFont val="Calibri"/>
        <family val="2"/>
        <scheme val="minor"/>
      </rPr>
      <t>CO</t>
    </r>
    <r>
      <rPr>
        <vertAlign val="subscript"/>
        <sz val="11"/>
        <rFont val="Calibri"/>
        <family val="2"/>
        <scheme val="minor"/>
      </rPr>
      <t>2</t>
    </r>
    <r>
      <rPr>
        <i/>
        <sz val="11"/>
        <rFont val="Calibri"/>
        <family val="2"/>
        <scheme val="minor"/>
      </rPr>
      <t>-Kulturstandard auf Basis des Global Warming Potentials bezogen auf einen Zeitraum von 100 Jahren (GWP-100) der einzelnen Komponenten des Kühlmittels verwendet werden. Meist findet sich dieser Emissionsfaktor auch im Wartungsprotokoll der Anlage.
Handelt es sich um ein Kühlmittel-Blend (Gasgemisch) ist es für die korrekte Berechnung der Emissionen einzelner Treibhausgase in Scope 1 erforderlich, dass Sie das Kühlmittel ebenfalls in der Tabelle "Global Warming Potential (GWP-100) einzelner Treibhausgase und -gasgemische" ergänzen (achten Sie auf die identische Benennung) und die GWP-100-Werte der einzelnen Komponenten an entsprechender Stelle eintragen.</t>
    </r>
  </si>
  <si>
    <r>
      <t>Erdgas (in m</t>
    </r>
    <r>
      <rPr>
        <vertAlign val="superscript"/>
        <sz val="11"/>
        <rFont val="Calibri"/>
        <family val="2"/>
        <scheme val="minor"/>
      </rPr>
      <t>3</t>
    </r>
    <r>
      <rPr>
        <sz val="11"/>
        <rFont val="Calibri"/>
        <family val="2"/>
        <scheme val="minor"/>
      </rPr>
      <t>)</t>
    </r>
  </si>
  <si>
    <r>
      <t>m</t>
    </r>
    <r>
      <rPr>
        <vertAlign val="superscript"/>
        <sz val="11"/>
        <rFont val="Calibri"/>
        <family val="2"/>
        <scheme val="minor"/>
      </rPr>
      <t>3</t>
    </r>
  </si>
  <si>
    <r>
      <t>Biogas (in m</t>
    </r>
    <r>
      <rPr>
        <vertAlign val="superscript"/>
        <sz val="11"/>
        <rFont val="Calibri"/>
        <family val="2"/>
        <scheme val="minor"/>
      </rPr>
      <t>3</t>
    </r>
    <r>
      <rPr>
        <sz val="11"/>
        <rFont val="Calibri"/>
        <family val="2"/>
        <scheme val="minor"/>
      </rPr>
      <t>)</t>
    </r>
  </si>
  <si>
    <r>
      <t>Biomethan (in m</t>
    </r>
    <r>
      <rPr>
        <vertAlign val="superscript"/>
        <sz val="11"/>
        <rFont val="Calibri"/>
        <family val="2"/>
        <scheme val="minor"/>
      </rPr>
      <t>3</t>
    </r>
    <r>
      <rPr>
        <sz val="11"/>
        <rFont val="Calibri"/>
        <family val="2"/>
        <scheme val="minor"/>
      </rPr>
      <t>)</t>
    </r>
  </si>
  <si>
    <r>
      <t>Extern ermittelte Nicht-CO</t>
    </r>
    <r>
      <rPr>
        <vertAlign val="subscript"/>
        <sz val="11"/>
        <rFont val="Calibri"/>
        <family val="2"/>
        <scheme val="minor"/>
      </rPr>
      <t>2</t>
    </r>
    <r>
      <rPr>
        <sz val="11"/>
        <rFont val="Calibri"/>
        <family val="2"/>
        <scheme val="minor"/>
      </rPr>
      <t>-Effekte</t>
    </r>
  </si>
  <si>
    <r>
      <t>Altholz (m</t>
    </r>
    <r>
      <rPr>
        <vertAlign val="superscript"/>
        <sz val="11"/>
        <rFont val="Calibri"/>
        <family val="2"/>
        <scheme val="minor"/>
      </rPr>
      <t>3</t>
    </r>
    <r>
      <rPr>
        <sz val="11"/>
        <rFont val="Calibri"/>
        <family val="2"/>
        <scheme val="minor"/>
      </rPr>
      <t>)</t>
    </r>
  </si>
  <si>
    <r>
      <t>Metallschrott (m</t>
    </r>
    <r>
      <rPr>
        <vertAlign val="superscript"/>
        <sz val="11"/>
        <rFont val="Calibri"/>
        <family val="2"/>
        <scheme val="minor"/>
      </rPr>
      <t>3</t>
    </r>
    <r>
      <rPr>
        <sz val="11"/>
        <rFont val="Calibri"/>
        <family val="2"/>
        <scheme val="minor"/>
      </rPr>
      <t>)</t>
    </r>
  </si>
  <si>
    <r>
      <t>Baumischabfall (m</t>
    </r>
    <r>
      <rPr>
        <vertAlign val="superscript"/>
        <sz val="11"/>
        <rFont val="Calibri"/>
        <family val="2"/>
        <scheme val="minor"/>
      </rPr>
      <t>3</t>
    </r>
    <r>
      <rPr>
        <sz val="11"/>
        <rFont val="Calibri"/>
        <family val="2"/>
        <scheme val="minor"/>
      </rPr>
      <t>)</t>
    </r>
  </si>
  <si>
    <r>
      <t>Sperrmüll (m</t>
    </r>
    <r>
      <rPr>
        <vertAlign val="superscript"/>
        <sz val="11"/>
        <rFont val="Calibri"/>
        <family val="2"/>
        <scheme val="minor"/>
      </rPr>
      <t>3</t>
    </r>
    <r>
      <rPr>
        <sz val="11"/>
        <rFont val="Calibri"/>
        <family val="2"/>
        <scheme val="minor"/>
      </rPr>
      <t>)</t>
    </r>
  </si>
  <si>
    <r>
      <t>Sonder- und Gefahrenstoffabfall (m</t>
    </r>
    <r>
      <rPr>
        <vertAlign val="superscript"/>
        <sz val="11"/>
        <rFont val="Calibri"/>
        <family val="2"/>
        <scheme val="minor"/>
      </rPr>
      <t>3</t>
    </r>
    <r>
      <rPr>
        <sz val="11"/>
        <rFont val="Calibri"/>
        <family val="2"/>
        <scheme val="minor"/>
      </rPr>
      <t>)</t>
    </r>
  </si>
  <si>
    <r>
      <t>Papiermüll (m</t>
    </r>
    <r>
      <rPr>
        <vertAlign val="superscript"/>
        <sz val="11"/>
        <rFont val="Calibri"/>
        <family val="2"/>
        <scheme val="minor"/>
      </rPr>
      <t>3</t>
    </r>
    <r>
      <rPr>
        <sz val="11"/>
        <rFont val="Calibri"/>
        <family val="2"/>
        <scheme val="minor"/>
      </rPr>
      <t>)</t>
    </r>
  </si>
  <si>
    <r>
      <t>Plastikmüll (m</t>
    </r>
    <r>
      <rPr>
        <vertAlign val="superscript"/>
        <sz val="11"/>
        <rFont val="Calibri"/>
        <family val="2"/>
        <scheme val="minor"/>
      </rPr>
      <t>3</t>
    </r>
    <r>
      <rPr>
        <sz val="11"/>
        <rFont val="Calibri"/>
        <family val="2"/>
        <scheme val="minor"/>
      </rPr>
      <t>)</t>
    </r>
  </si>
  <si>
    <r>
      <t>Restmüll (m</t>
    </r>
    <r>
      <rPr>
        <vertAlign val="superscript"/>
        <sz val="11"/>
        <rFont val="Calibri"/>
        <family val="2"/>
        <scheme val="minor"/>
      </rPr>
      <t>3</t>
    </r>
    <r>
      <rPr>
        <sz val="11"/>
        <rFont val="Calibri"/>
        <family val="2"/>
        <scheme val="minor"/>
      </rPr>
      <t>)</t>
    </r>
  </si>
  <si>
    <r>
      <t>Biomüll (m</t>
    </r>
    <r>
      <rPr>
        <vertAlign val="superscript"/>
        <sz val="11"/>
        <rFont val="Calibri"/>
        <family val="2"/>
        <scheme val="minor"/>
      </rPr>
      <t>3</t>
    </r>
    <r>
      <rPr>
        <sz val="11"/>
        <rFont val="Calibri"/>
        <family val="2"/>
        <scheme val="minor"/>
      </rPr>
      <t>)</t>
    </r>
  </si>
  <si>
    <r>
      <t>Altglas (m</t>
    </r>
    <r>
      <rPr>
        <vertAlign val="superscript"/>
        <sz val="11"/>
        <rFont val="Calibri"/>
        <family val="2"/>
        <scheme val="minor"/>
      </rPr>
      <t>3</t>
    </r>
    <r>
      <rPr>
        <sz val="11"/>
        <rFont val="Calibri"/>
        <family val="2"/>
        <scheme val="minor"/>
      </rPr>
      <t>)</t>
    </r>
  </si>
  <si>
    <r>
      <t>CO</t>
    </r>
    <r>
      <rPr>
        <b/>
        <vertAlign val="subscript"/>
        <sz val="14"/>
        <color theme="1" tint="0.499984740745262"/>
        <rFont val="Calibri"/>
        <family val="2"/>
        <scheme val="minor"/>
      </rPr>
      <t>2</t>
    </r>
    <r>
      <rPr>
        <b/>
        <sz val="14"/>
        <color theme="1" tint="0.499984740745262"/>
        <rFont val="Calibri"/>
        <family val="2"/>
        <scheme val="minor"/>
      </rPr>
      <t>-Kulturrechner 2026 für das Bilanzjahr 2025</t>
    </r>
  </si>
  <si>
    <t>Aktualisierung der Emissionsfaktoren für Bilanzjahr 2025 (CO2-Kulturrechner 2026)</t>
  </si>
  <si>
    <t>2025 EF Scope 1
(kg CO2e/Einheit)
- 
CO2-Kulturrechner 2026</t>
  </si>
  <si>
    <t>2025 EF Scope 2
(kg CO2e/Einheit)
- 
CO2-Kulturrechner 2026</t>
  </si>
  <si>
    <t>2025 EF Scope 3
(kg CO2e/Einheit)
- 
CO2-Kulturrechner 2026</t>
  </si>
  <si>
    <t>2025 Vermeidungsfaktor (kg CO2e/Einheit)
- 
CO2-Kulturrechner 2026</t>
  </si>
  <si>
    <t>Quellenänderung auf UBA-Emissionsfaktorenliste</t>
  </si>
  <si>
    <t>ehemals Tankstellenmix, jetzt 100% fossiler Kraftstoff; Quellenänderung auf UBA-Emissionsfaktorenliste</t>
  </si>
  <si>
    <t/>
  </si>
  <si>
    <t>Umbenennung, ehemals "PKW"; Quellenänderung auf UBA-Emissionsfaktorenliste</t>
  </si>
  <si>
    <t>Umbenennung, ehemals "Flug (Inland)"</t>
  </si>
  <si>
    <t>Umbenennung, ehemals "Flug (innereuropäisch)"</t>
  </si>
  <si>
    <t>Umbenennung, ehemals "Flug (international)"</t>
  </si>
  <si>
    <t>Extern ermittelte Nicht-CO2-Effekte</t>
  </si>
  <si>
    <t>2025 EF Scope 1
(kg CO2e/Einheit)</t>
  </si>
  <si>
    <t>2024 EF Scope 1
(kg CO2e/Einheit)</t>
  </si>
  <si>
    <t>2025 EF Scope 2
(kg CO2e/Einheit)</t>
  </si>
  <si>
    <t>2024 EF Scope 2
(kg CO2e/Einheit)</t>
  </si>
  <si>
    <t>2025 EF Scope 3.1
(kg CO2e/Einheit)</t>
  </si>
  <si>
    <t>2024 EF Scope 3.1
(kg CO2e/Einheit)</t>
  </si>
  <si>
    <t>2025 EF Scope 3.5
(kg CO2e/Einheit)</t>
  </si>
  <si>
    <t>2024 EF Scope 3.5
(kg CO2e/Einheit)</t>
  </si>
  <si>
    <t>Sonder- und Gefahrenstoffabfall (m3)</t>
  </si>
  <si>
    <t>Anreise Besuchende</t>
  </si>
  <si>
    <t>[2]</t>
  </si>
  <si>
    <t>[3]</t>
  </si>
  <si>
    <t>[1],[2]</t>
  </si>
  <si>
    <t>IDs: 01_10_02_005_01_1,01_10_02_005_01_2,01_10_02_005_01_3,01_10_02_005_01_4,07_31_02_004_01_1</t>
  </si>
  <si>
    <t>IDs: 01_10_02_004_05_1,01_10_02_004_05_2,01_10_02_004_05_3,01_10_02_004_05_4,07_31_02_004_05_1</t>
  </si>
  <si>
    <t>IDs: 01_10_01_002_01_1,01_10_01_002_01_2,01_10_01_002_01_3,01_10_01_002_01_4,XX_00_01_002_01_2,07_31_01_002_01_1</t>
  </si>
  <si>
    <t>IDs: 01_10_01_002_05_1,01_10_01_002_05_2,01_10_01_002_05_3,01_10_01_002_05_4,XX_00_01_002_05_2,07_31_01_002_05_1</t>
  </si>
  <si>
    <t>IDs: 01_10_01_003_01_1,01_10_01_003_01_2,01_10_01_003_01_3,01_10_01_003_01_4,XX_00_02_004_01_2,07_31_01_003_01_1; Umrechnung in heizwertbezogenen Emissionsfaktor auf Basis des Umrechnungsfaktors für Erdgas</t>
  </si>
  <si>
    <t>IDs: 01_10_01_003_01_1,01_10_01_003_01_2,01_10_01_003_01_3,01_10_01_003_01_4,XX_00_02_004_01_2,07_31_01_003_01_1; Umrechnung in kubikmeterbezogenen Emissionsfaktor auf Basis der Energiedichte von Erdgas</t>
  </si>
  <si>
    <t>IDs: 01_10_02_002_01_1,01_10_02_002_01_2,01_10_02_002_01_3,01_10_02_002_01_4,07_31_02_002_01_1</t>
  </si>
  <si>
    <t>IDs: 01_10_02_002_02_1,01_10_02_002_02_2,01_10_02_002_02_3,01_10_02_002_02_4,07_31_02_002_02_1</t>
  </si>
  <si>
    <t>IDs: 02_10_01_009_01_1,02_10_01_009_01_2,02_10_01_009_01_3,02_10_01_009_01_4,08_31_01_009_01_1; Verwendung des Emissionsfaktors von LPG für mobile Verbrennung</t>
  </si>
  <si>
    <t>IDs: 02_10_01_009_02_1,02_10_01_009_02_2,02_10_01_009_02_3,02_10_01_009_02_4,08_31_01_009_02_1; Verwendung des Emissionsfaktors von LPG für mobile Verbrennung</t>
  </si>
  <si>
    <t>IDs: 06_20_01_008_01_1,06_20_01_008_01_2,06_20_01_008_01_3,06_20_01_008_01_4,06_31_01_008_01_1; fossiler Durchschnitt, daher konservative Annahme</t>
  </si>
  <si>
    <t>IDs: 06_31_01_008_01_1</t>
  </si>
  <si>
    <t>IDs: 01_10_01_009_04_1,01_10_01_009_04_2,01_10_01_009_04_3,01_10_01_009_04_4,XX_00_01_009_04_2,07_31_01_009_04_1; Umrechnungs in kilogrammbezogenen Emissionsfaktor</t>
  </si>
  <si>
    <t>IDs: 06_31_02_002_01_1</t>
  </si>
  <si>
    <t>IDs: 05_20_01_001_01_1,05_20_01_001_01_2,05_20_01_001_01_3,05_20_01_001_01_4,05_31_01_001_01_1</t>
  </si>
  <si>
    <t>[4]</t>
  </si>
  <si>
    <t>IDs: 05_31_02_004_01_1</t>
  </si>
  <si>
    <t>IDs: 01_10_02_003_02_1,01_10_02_003_02_2,01_10_02_003_02_3,01_10_02_003_02_4,07_31_02_003_02_1; 100% fossiler Kraftstoff</t>
  </si>
  <si>
    <t>[6]</t>
  </si>
  <si>
    <t>[7]</t>
  </si>
  <si>
    <t>[1],[6]</t>
  </si>
  <si>
    <t>IDs: 02_10_01_001_02_1,02_10_01_001_02_2,02_10_01_001_02_3,02_10_01_001_02_4,08_31_01_001_02_1; 100% fossiler Kraftstoff</t>
  </si>
  <si>
    <t>IDs: 02_10_01_005_02_1,02_10_01_005_02_2,02_10_01_005_02_3,02_10_01_005_02_4,08_31_01_005_02_1; 100% fossiler Kraftstoff</t>
  </si>
  <si>
    <t>IDs: 02_10_01_009_02_1,02_10_01_009_02_2,02_10_01_009_02_3,02_10_01_009_02_4,08_31_01_009_02_1; 100% fossiler Kraftstoff</t>
  </si>
  <si>
    <t>IDs: 02_10_01_006_04_1,02_10_01_006_04_2,02_10_01_006_04_3,02_10_01_006_04_4,08_31_01_006_01_1_t; Umrechnung in kilogrammbezogenen Emissionsfaktor, 100% fossiler Kraftstoff</t>
  </si>
  <si>
    <t>IDs: 08_32_03_019_09_1</t>
  </si>
  <si>
    <t>IDs: 08_32_03_016_09_1,08_32_03_015_09_1; Durchschnitt der Emissionsfaktoren für "PKW - Dieselmotor" und "PKW - Bezinmotor"</t>
  </si>
  <si>
    <t>IDs: 08_32_03_017_09_1</t>
  </si>
  <si>
    <t>IDs: 08_32_03_039_09_1,08_32_03_040_09_1,08_32_03_027_09_1; Durchschnitt der Emissionsfaktoren für "Zug - Straßen-, Stadt- und U-Bahnen", "Zug - Nahverkehr" und "Bus - (Stadt-)Linienbus"</t>
  </si>
  <si>
    <t>[1]</t>
  </si>
  <si>
    <t>IDs: 08_32_03_028_09_1</t>
  </si>
  <si>
    <t>IDs: 08_32_03_038_09_1</t>
  </si>
  <si>
    <t>[5]</t>
  </si>
  <si>
    <t>[1],[8]</t>
  </si>
  <si>
    <t>[1],[4],[13],[14]</t>
  </si>
  <si>
    <t>Emissionsfaktor für die Nutzung von Wohnfläche (pro Tag) auf Basis des Haushalts-Energeimixes und dem durchschnittlichen Energeiverbrauch pro Quadratmeter Wohnfläche; Annahme: Apartment mit 50m2 Wohnfläche</t>
  </si>
  <si>
    <t>[1],[2],[12]</t>
  </si>
  <si>
    <t>Mittelwert der Emissionsfaktoren für PKW (Durchschnitt) und ÖPNV gewichtet nach der zurückgelegten Pendelstrecke (Hin- und Rückfahrt) je Verkehsmittel in Deutschland; einfache mittlere Weglänge (Wegezweck "Arbeit"): 15 km; Modal Split: 7% zu Fuß/Fahrrad, 74% MIV, 19% ÖV; 220 Tage/Jahr</t>
  </si>
  <si>
    <t>IDs: 08_32_04_001_XX_1</t>
  </si>
  <si>
    <t>IDs: 08_32_03_039_09_1,08_32_03_040_09_1,08_32_03_027_09_1</t>
  </si>
  <si>
    <t>[9]</t>
  </si>
  <si>
    <t>IDs: 09_32_03_005_10_1</t>
  </si>
  <si>
    <t>IDs: 09_32_03_012_10_1</t>
  </si>
  <si>
    <t>IDs: 09_32_03_014_10_1</t>
  </si>
  <si>
    <t>IDs: 09_32_03_013_10_1</t>
  </si>
  <si>
    <t>IDs: 09_32_03_011_10_1</t>
  </si>
  <si>
    <t>IDs: 09_32_03_043_10_1</t>
  </si>
  <si>
    <t>IDs: 09_32_03_042_10_1</t>
  </si>
  <si>
    <t>IDs: 09_32_03_041_10_1</t>
  </si>
  <si>
    <t>IDs: 09_32_03_048_10_1</t>
  </si>
  <si>
    <t>[1],[10]</t>
  </si>
  <si>
    <t>[10]</t>
  </si>
  <si>
    <t>[1],[11]</t>
  </si>
  <si>
    <t>[11]</t>
  </si>
  <si>
    <t xml:space="preserve">IDs: 08_32_03_017_09_1; </t>
  </si>
  <si>
    <t>IDs: 10_32_03_001_XX_1; Umrechnung in GB-bezogenen Emissionsfaktor</t>
  </si>
  <si>
    <t>[1],[15]</t>
  </si>
  <si>
    <t>[5]: Waste disposal: Construction - Wood - Combustion; [15]: Spanplatte, roh (Durchschnitt DE)  (uuid=dce28570-db4a-4997-a05c-1fa0d75201c8, GWP-fossil, A1-A3)</t>
  </si>
  <si>
    <t>[1],[15],[16]</t>
  </si>
  <si>
    <t>[5],[16]</t>
  </si>
  <si>
    <t>[5]: Waste disposal: Construction - Wood - Combustion; [15]: Spanplatte, roh (Durchschnitt DE)  (uuid=dce28570-db4a-4997-a05c-1fa0d75201c8, GWP-fossil, A1-A3); [16]: Altholz, mittlere Abfalldichte im Container 340 kg/m3</t>
  </si>
  <si>
    <t>[5]: Waste disposal: Construction - Metal - Closed-loop; [15]: Stahlprofil (uuid=755a481d-a74b-4ba0-b417-cc26767b2d50, GWP-fossil, A1-A3), Aluminium Profil (Ø-DE) (uuid=3feca796-791b-46d3-8160-95ef243ffb9d, GWP-fossil, A1-A3); [16]: Altmetall, lose Schüttung</t>
  </si>
  <si>
    <t>[5]: Waste disposal: Construction - Average Construction - Combustion; [15]: Gipsbauplatte (Feuerschutz; 12,5mm) (uuid=46c055f0-84a2-423b-ae82-5264886e51ad, GWP-fossil, A1-A3), Flachglas - Bundesverband Flachglas e.V. - Verbundsicherheitsglas (uuid=f7f14041-760f-4984-b5ae-e5f0033f384e, GWP-fossil, A1-A3), Kabelkanal PVC hart (uuid=0c97fb5f-67df-495e-bac5-f5d931f58a90, GWP-fossil, A1-A3), PVC Fußbodenbelag (uuid=fde18fdc-ca6b-41d3-9918-aab96177fc24, GWP-fossil, A1-A3), Annahme: 30% Gips/20% Glas/20% PVC/30% PVC-Boden; [16]: Bauschutt, Abruchmaterial</t>
  </si>
  <si>
    <t>[1],[17]</t>
  </si>
  <si>
    <t>[1],[17],[16]</t>
  </si>
  <si>
    <t>[5]: Waste disposal: Construction - Wood - Combustion; [17]: Annahme: Mittelwert der Emissionsfaktoren für Chair, Office chair, Sofa 3-seater, Cabinets and shelves, Coffee table; [16]: Sperrmüll, lose unzerkleinert</t>
  </si>
  <si>
    <t>[1],[18]</t>
  </si>
  <si>
    <t>[5]: Waste disposal: Construction - Asbestos - landfill; [16]: Bauschutt, Abruchmaterial</t>
  </si>
  <si>
    <t>[5]: Waste disposal: Paper and board - mixed - Closed-loop; [16]: Papier/Pappe - Sammelcontainer</t>
  </si>
  <si>
    <t>[5]: Waste disposal: Plastics - average plastics - Closed-loop; [16]: Kunststoffe (ohne Styropor) - Containervolumen</t>
  </si>
  <si>
    <t>[5]: Waste disposal: Household residual waste - Combustion; [16]: Hausmüll - lose</t>
  </si>
  <si>
    <t>[5]: Waste disposal: Organic - food and drink waste - Composting; [16]: Bioabfall - Tonne</t>
  </si>
  <si>
    <t>[5]: Waste disposal: Glass - Closed-loop; [16]: Glas - Wertstoff-/Depotcontainer</t>
  </si>
  <si>
    <t>[5]: Waste disposal: Construction - Metal - Closed-loop; [15]: Stahlprofil (uuid=755a481d-a74b-4ba0-b417-cc26767b2d50, GWP-fossil, A1-A3), Aluminium Profil (Ø-DE) (uuid=3feca796-791b-46d3-8160-95ef243ffb9d, GWP-fossil, A1-A3)</t>
  </si>
  <si>
    <t>[5]: Waste disposal: Construction - Average Construction - Combustion; [15]: Gipsbauplatte (Feuerschutz; 12,5mm) (uuid=46c055f0-84a2-423b-ae82-5264886e51ad, GWP-fossil, A1-A3), Flachglas - Bundesverband Flachglas e.V. - Verbundsicherheitsglas (uuid=f7f14041-760f-4984-b5ae-e5f0033f384e, GWP-fossil, A1-A3), Kabelkanal PVC hart (uuid=0c97fb5f-67df-495e-bac5-f5d931f58a90, GWP-fossil, A1-A3), PVC Fußbodenbelag (uuid=fde18fdc-ca6b-41d3-9918-aab96177fc24, GWP-fossil, A1-A3), Annahme: 30% Gips/20% Glas/20% PVC/30% PVC-Boden</t>
  </si>
  <si>
    <t>[5]: Waste disposal: Construction - Wood - Combustion; [17]: Annahme: Mittelwert der Emissionsfaktoren für Chair, Office chair, Sofa 3-seater, Cabinets and shelves, Coffee table</t>
  </si>
  <si>
    <t>[5]: Waste disposal: Electrical items - WEEE - mixed - Open-loop; [18]: Annahme: 30% Desktop-PCs/30% Displays/30% Laptops/10% Drucker</t>
  </si>
  <si>
    <t>[5]: Waste disposal: Electrical items - WEEE - mixed - Open-loop; [15]: Kabel 3 adrig (uuid=b6e98ada-b4ee-41d6-bc1f-1b6a6a9379f2, GWP-fossil, A1-A3), Leuchtstoffröhre T8-36W (uuid=d1e8a149-7d1f-4e81-b845-fe1f230e3a7a, GWP-fossil, A1-A3), Annahme: 50% Kabel/50% Leuchtstoffröhren</t>
  </si>
  <si>
    <t>[5]: Waste disposal: Construction - Asbestos - landfill</t>
  </si>
  <si>
    <t>[5]: Waste disposal: Paper and board - mixed - Closed-loop</t>
  </si>
  <si>
    <t>[5]: Waste disposal: Plastics - average plastics - Closed-loop</t>
  </si>
  <si>
    <t>[5]: Waste disposal: Household residual waste - Combustion</t>
  </si>
  <si>
    <t>[5]: Waste disposal: Organic - food and drink waste - Composting</t>
  </si>
  <si>
    <t>[5]: Waste disposal: Glass - Closed-loop</t>
  </si>
  <si>
    <t>Quellenverzeichnis</t>
  </si>
  <si>
    <t>Nr.</t>
  </si>
  <si>
    <t>Link</t>
  </si>
  <si>
    <t>Eigene Berechnung</t>
  </si>
  <si>
    <t>Umweltbundesamt (2025): Liste mit Emissionsfaktoren für die Treibhausgasbilanzierung von Organisationen, V 2.0</t>
  </si>
  <si>
    <t>https://www.umweltbundesamt.de/themen/wirtschaft-konsum/wirtschaft-umwelt/umwelt-energiemanagement/emissionsfaktoren-zur-treibhausgasbilanzierung-von#lizenz</t>
  </si>
  <si>
    <t>Bundesamt für Wirtschaft und Ausfuhrkontrolle (BAFA) (2024): Merkblatt zur Ermittlung des Gesamtenergieverbrauchs, Stand: 17.07.2024</t>
  </si>
  <si>
    <t>https://www.bafa.de/SharedDocs/Downloads/DE/Energie/ea_ermittlung_gesamtenergieverbrauch.html</t>
  </si>
  <si>
    <t>Umweltbundesamt (2025): Emissionsbilanz erneuerbarer Energieträger 2023: Bestimmung der vermiedenen Emissionen im Jahr 2023 (CLIMATE CHANGE 03/2025)</t>
  </si>
  <si>
    <t>https://www.umweltbundesamt.de/publikationen/emissionsbilanz-erneuerbarer-energietraeger-2023</t>
  </si>
  <si>
    <t>Department for Energy Security and Net Zero (DESNZ) (2025): UK Government GHG Conversion Factors for Company Reporting, V.10</t>
  </si>
  <si>
    <t>https://www.gov.uk/government/publications/greenhouse-gas-reporting-conversion-factors-2025</t>
  </si>
  <si>
    <t>IPCC (2021): Climate Change 2021. The Physical Science Basis. Contribution of Working Group I to the Sixth Assessment Report of the Intergovernmental Panel on Climate Change</t>
  </si>
  <si>
    <t>https://www.ipcc.ch/report/sixth-assessment-report-working-group-i/</t>
  </si>
  <si>
    <t>Refrigeration, Air Conditioning and Heat Pumps Technical Options Committee (2019): Assessment Report 2018</t>
  </si>
  <si>
    <t>https://ozone.unep.org/sites/default/files/2019-04/RTOC-assessment-report-2018_0.pdf</t>
  </si>
  <si>
    <t>[8]</t>
  </si>
  <si>
    <t>Greenview Hospitality Pte Ltd. (2024): Cornell Hotel Sustainability Benchmarking (CHSB) Index 2024</t>
  </si>
  <si>
    <t>https://ecommons.cornell.edu/items/85eddae3-2b5b-41fb-88ad-75a0b53f8424</t>
  </si>
  <si>
    <t>DSLV Deutscher Speditions- und Logistikverband e.V. (DSLV) (2013): Berechnung von Treibhausgasemissionen in Spedition und Logistik gemäß DIN EN 16258</t>
  </si>
  <si>
    <t>https://www.dslv.org/fileadmin/Redaktion/PDFs/07_Publikationen/Leitfaeden/DSLV-Leitfaden_Berechnung_von_THG-Emissionen_Stand_03-2013.pdf</t>
  </si>
  <si>
    <t>ADEME (2023): Base Carbone V22.0</t>
  </si>
  <si>
    <t>https://base-empreinte.ademe.fr/</t>
  </si>
  <si>
    <t>MK DiscPress (Datum unbekannt): Vergleich EcoDisc - DVD5</t>
  </si>
  <si>
    <t>https://wkdiscpress.de/druckvorlagen/vergleich_ecodisc-dvd_vs_dvd-5.pdf</t>
  </si>
  <si>
    <t>[12]</t>
  </si>
  <si>
    <t>infas, DLR, IVT und infas 360 (2025): Mobilität in Deutschland - MiD Tabellarische Grundauswertung (im Auftrag des BMV)</t>
  </si>
  <si>
    <t>https://www.mobilitaet-in-deutschland.de/</t>
  </si>
  <si>
    <t>[13]</t>
  </si>
  <si>
    <t>Eurostat (2025): Disaggregated final energy consumptions in households - quantities</t>
  </si>
  <si>
    <t>https://ec.europa.eu/eurostat/databrowser/product/page/nrg_d_hhq</t>
  </si>
  <si>
    <t>[14]</t>
  </si>
  <si>
    <t>European Commission (2025): Building Stock Observatory (v2.2)</t>
  </si>
  <si>
    <t>https://energy.ec.europa.eu/topics/energy-efficiency/energy-performance-buildings/eu-building-stock-observatory_en</t>
  </si>
  <si>
    <t>[15]</t>
  </si>
  <si>
    <t>Bundesinstitut für Bau-, Stadt- und Raumforschung (BBSR) (2024): ÖKOBAUDAT 2024-I</t>
  </si>
  <si>
    <t>https://www.oekobaudat.de/</t>
  </si>
  <si>
    <t>[16]</t>
  </si>
  <si>
    <t>Statistisches Landesamt Baden-Württemberg (Datum unbekannt): Umrechnungsfaktoren</t>
  </si>
  <si>
    <t>https://www.statistik-bw.de/fileadmin/user_upload/Daten_melden/33_A_Umrechnungsfaktoren.pdf</t>
  </si>
  <si>
    <t>[17]</t>
  </si>
  <si>
    <t>Lauvland, H. (2021): The Carbon Footprint of Furniture. Master’s thesis in Energy and Environmental engineering.</t>
  </si>
  <si>
    <t>https://nva.sikt.no/registration/0198e6f19b01-ce2fe63e-91eb-4e7e-acac-7ca385f5db61</t>
  </si>
  <si>
    <t>[18]</t>
  </si>
  <si>
    <t>Singh &amp; Ogunseitan (2022): Distentangling the worldwide web of e-waste and climate chnage co-benefits, Circular Economy, Volume 1, Issue 2</t>
  </si>
  <si>
    <t>https://doi.org/10.1016/j.cec.2022.100011</t>
  </si>
  <si>
    <r>
      <t>Aktualisierung der Emissionsfaktoren für Bilanzjahr 2024 (CO</t>
    </r>
    <r>
      <rPr>
        <vertAlign val="subscript"/>
        <sz val="11"/>
        <color theme="1"/>
        <rFont val="Calibri"/>
        <family val="2"/>
        <scheme val="minor"/>
      </rPr>
      <t>2</t>
    </r>
    <r>
      <rPr>
        <sz val="11"/>
        <color theme="1"/>
        <rFont val="Calibri"/>
        <family val="2"/>
        <scheme val="minor"/>
      </rPr>
      <t>-Kulturrechner 2025)</t>
    </r>
  </si>
  <si>
    <t>Allgemein</t>
  </si>
  <si>
    <t>- neue Emissionsquellen: „PKW (elektrisch)“ und „PKW (Verbrennungsmotor)“
- neue Emissionsquelle: „Übernachtung in Privatwohnung“
- neue Emissionsquellen: „Flug (innereuropäisch) - Economy“ und „Flug (innereuropäisch) - Business“
- neue Emissionsquellen: „Flug (international) - Economy“ und „Flug (international) - Business“</t>
  </si>
  <si>
    <t>- neue Emissionsquellen: „PKW (elektrisch)“ und „PKW (Verbrennungsmotor)“
- neue Emissionsquelle: „mobiles Arbeiten“</t>
  </si>
  <si>
    <t>- neue Emissionsquellen: „PKW (elektrisch)“ und „PKW (Verbrennungsmotor)“
- neue Emissionsquellen: „Flug (innereuropäisch) - Economy“ und „Flug (innereuropäisch) - Business“
- neue Emissionsquellen: „Flug (international) - Economy“ und „Flug (international) - Business“</t>
  </si>
  <si>
    <t>- neue Emissionsquelle: „Sonder- und Gefahrenabfälle“ (in t und m3)</t>
  </si>
  <si>
    <t>- wo möglich und sinnvoll: Quellenänderung auf die „Liste mit Emissionsfaktoren für die Treibhausgasbilanzierung von Organisationen“ des Umweltbundesamtes</t>
  </si>
  <si>
    <t>v1.1.1</t>
  </si>
  <si>
    <t>v1.0.0</t>
  </si>
  <si>
    <t>v1.1.0</t>
  </si>
  <si>
    <t>v2.0.0</t>
  </si>
  <si>
    <t>v2.1.0</t>
  </si>
  <si>
    <t>v2.1.1</t>
  </si>
  <si>
    <t>v2.1.2</t>
  </si>
  <si>
    <t>v3.0.0</t>
  </si>
  <si>
    <t>v3.1.0</t>
  </si>
  <si>
    <t>Business travel - air: Flights - Domestic, to/from UK - Average passenger, inkl. WTT</t>
  </si>
  <si>
    <t>Business travel - air: Flights - Short-haul, to/from UK - Average passenger, inkl. WTT</t>
  </si>
  <si>
    <t>Business travel - air: Flights - Short-haul, to/from UK - Economy class, inkl. WTT</t>
  </si>
  <si>
    <t>Business travel - air: Flights - Short-haul, to/from UK - Business class, inkl. WTT</t>
  </si>
  <si>
    <t>Business travel - air: Flights - Long-haul, to/from UK - Average passenger, inkl. WTT</t>
  </si>
  <si>
    <t>Business travel - air: Flights - Long-haul, to/from UK - Economy class, inkl. WTT</t>
  </si>
  <si>
    <t>Business travel - air: Flights - Long-haul, to/from UK - Business class, inkl. WTT</t>
  </si>
  <si>
    <t>Zusammenfassung der wichtigsten Änderungen gegenüber dem Vorjahr</t>
  </si>
  <si>
    <r>
      <t>Dieses Zertifikat ist als Selbsterklärung der Kultureinrichtung zu verstehen. Die Korrektheit der enthaltenen Informationen liegt in alleiniger Verantwortung der Kultureinrichtung. Die angegebenen Treibhausgasemissionen wurden im CO</t>
    </r>
    <r>
      <rPr>
        <vertAlign val="subscript"/>
        <sz val="9"/>
        <color theme="1"/>
        <rFont val="Yu Gothic UI Light"/>
        <family val="2"/>
      </rPr>
      <t>2</t>
    </r>
    <r>
      <rPr>
        <sz val="9"/>
        <color theme="1"/>
        <rFont val="Yu Gothic UI Light"/>
        <family val="2"/>
      </rPr>
      <t>-Kulturrecher gemäß dem CO</t>
    </r>
    <r>
      <rPr>
        <vertAlign val="subscript"/>
        <sz val="9"/>
        <color theme="1"/>
        <rFont val="Yu Gothic UI Light"/>
        <family val="2"/>
      </rPr>
      <t>2</t>
    </r>
    <r>
      <rPr>
        <sz val="9"/>
        <color theme="1"/>
        <rFont val="Yu Gothic UI Light"/>
        <family val="2"/>
      </rPr>
      <t>-Kulturstandard berechnet. Dieser basiert auf den weltweit anerkannten Standards des Greenhouse Gas Protocol zur Treibhausgasbilanzierung von Unternehmen (Corporate Accounting and Reporting Standard, 2004, sowie Corporate Value Chain (Scope 3) Accounting and Reporting Standard, 2011). Der CO</t>
    </r>
    <r>
      <rPr>
        <vertAlign val="subscript"/>
        <sz val="9"/>
        <color theme="1"/>
        <rFont val="Yu Gothic UI Light"/>
        <family val="2"/>
      </rPr>
      <t>2</t>
    </r>
    <r>
      <rPr>
        <sz val="9"/>
        <color theme="1"/>
        <rFont val="Yu Gothic UI Light"/>
        <family val="2"/>
      </rPr>
      <t>-Kulturstandard wurde am 11. Oktober 2023 im Kulturpolitischen Spitzengespräch von Bund, Ländern und Kommunen zur Anwendung im Kulturbereich empfohlen. Er wurde 2025 überprüft, aktualisiert und erneut von Bund, Ländern und Kommunalen Spitzenverbänden beraten und grundsätzlich zur Anwendung im Kulturbereich empfohlen. Die Entwicklung des CO</t>
    </r>
    <r>
      <rPr>
        <vertAlign val="subscript"/>
        <sz val="9"/>
        <color theme="1"/>
        <rFont val="Yu Gothic UI Light"/>
        <family val="2"/>
      </rPr>
      <t>2</t>
    </r>
    <r>
      <rPr>
        <sz val="9"/>
        <color theme="1"/>
        <rFont val="Yu Gothic UI Light"/>
        <family val="2"/>
      </rPr>
      <t>-Kulturstandards wurde gefördert durch das Ministerium für Wissenschaft, Forschung und Kunst Baden-Württemberg und den Beauftragten der Bundesregierung für Kultur und Medien.</t>
    </r>
  </si>
  <si>
    <r>
      <t>Ergebnis Scope 2 market-based
[kg CO</t>
    </r>
    <r>
      <rPr>
        <b/>
        <vertAlign val="subscript"/>
        <sz val="11"/>
        <color theme="1"/>
        <rFont val="Calibri"/>
        <family val="2"/>
        <scheme val="minor"/>
      </rPr>
      <t>2</t>
    </r>
    <r>
      <rPr>
        <b/>
        <sz val="11"/>
        <color theme="1"/>
        <rFont val="Calibri"/>
        <family val="2"/>
        <scheme val="minor"/>
      </rPr>
      <t>e]
(vorausgefüllt)</t>
    </r>
  </si>
  <si>
    <r>
      <t>Ergebnis
[kg CO</t>
    </r>
    <r>
      <rPr>
        <b/>
        <vertAlign val="subscript"/>
        <sz val="11"/>
        <color theme="1"/>
        <rFont val="Calibri"/>
        <family val="2"/>
        <scheme val="minor"/>
      </rPr>
      <t>2</t>
    </r>
    <r>
      <rPr>
        <b/>
        <sz val="11"/>
        <color theme="1"/>
        <rFont val="Calibri"/>
        <family val="2"/>
        <scheme val="minor"/>
      </rPr>
      <t>e]
(vorausgefüllt)</t>
    </r>
  </si>
  <si>
    <r>
      <t>Bei Strombezug: Berechnung mit  Emissionsfaktor des durchschnittlichen bundesdeutschen Strommixes (</t>
    </r>
    <r>
      <rPr>
        <b/>
        <i/>
        <sz val="11"/>
        <color theme="1"/>
        <rFont val="Calibri"/>
        <family val="2"/>
        <scheme val="minor"/>
      </rPr>
      <t>location-based</t>
    </r>
    <r>
      <rPr>
        <i/>
        <sz val="11"/>
        <color theme="1"/>
        <rFont val="Calibri"/>
        <family val="2"/>
        <scheme val="minor"/>
      </rPr>
      <t>)</t>
    </r>
  </si>
  <si>
    <r>
      <t>Bei Strombezug: Berechnung mit 
dem (in Spalte I) eingetragenen  Emissionsfaktor des Vetragsstrommixes (</t>
    </r>
    <r>
      <rPr>
        <b/>
        <i/>
        <sz val="11"/>
        <color theme="1"/>
        <rFont val="Calibri"/>
        <family val="2"/>
        <scheme val="minor"/>
      </rPr>
      <t>market-based</t>
    </r>
    <r>
      <rPr>
        <i/>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</si>
</sst>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
    <numFmt numFmtId="165" formatCode="#,##0.0"/>
    <numFmt numFmtId="166" formatCode="0.0%"/>
  </numFmts>
  <fonts count="90" x14ac:knownFonts="1">
    <font>
      <sz val="11"/>
      <color theme="1"/>
      <name val="Calibri"/>
      <family val="2"/>
      <scheme val="minor"/>
    </font>
    <font>
      <b/>
      <sz val="11"/>
      <color theme="1"/>
      <name val="Calibri"/>
      <family val="2"/>
      <scheme val="minor"/>
    </font>
    <font>
      <sz val="8"/>
      <name val="Calibri"/>
      <family val="2"/>
      <scheme val="minor"/>
    </font>
    <font>
      <b/>
      <sz val="14"/>
      <color theme="1"/>
      <name val="Calibri"/>
      <family val="2"/>
      <scheme val="minor"/>
    </font>
    <font>
      <u/>
      <sz val="11"/>
      <color theme="10"/>
      <name val="Calibri"/>
      <family val="2"/>
      <scheme val="minor"/>
    </font>
    <font>
      <sz val="11"/>
      <name val="Calibri"/>
      <family val="2"/>
      <scheme val="minor"/>
    </font>
    <font>
      <b/>
      <vertAlign val="subscript"/>
      <sz val="11"/>
      <color theme="1"/>
      <name val="Calibri"/>
      <family val="2"/>
      <scheme val="minor"/>
    </font>
    <font>
      <i/>
      <sz val="11"/>
      <color theme="5"/>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b/>
      <i/>
      <sz val="11"/>
      <color theme="5"/>
      <name val="Calibri"/>
      <family val="2"/>
      <scheme val="minor"/>
    </font>
    <font>
      <b/>
      <vertAlign val="superscript"/>
      <sz val="11"/>
      <color theme="1"/>
      <name val="Calibri"/>
      <family val="2"/>
      <scheme val="minor"/>
    </font>
    <font>
      <b/>
      <sz val="14"/>
      <color theme="5"/>
      <name val="Calibri"/>
      <family val="2"/>
      <scheme val="minor"/>
    </font>
    <font>
      <b/>
      <sz val="12"/>
      <color theme="5"/>
      <name val="Calibri"/>
      <family val="2"/>
      <scheme val="minor"/>
    </font>
    <font>
      <b/>
      <u/>
      <sz val="11"/>
      <color theme="1"/>
      <name val="Calibri"/>
      <family val="2"/>
      <scheme val="minor"/>
    </font>
    <font>
      <b/>
      <sz val="11"/>
      <color theme="5"/>
      <name val="Calibri"/>
      <family val="2"/>
      <scheme val="minor"/>
    </font>
    <font>
      <b/>
      <sz val="16"/>
      <color theme="5"/>
      <name val="Calibri"/>
      <family val="2"/>
      <scheme val="minor"/>
    </font>
    <font>
      <b/>
      <sz val="14"/>
      <color theme="3"/>
      <name val="Calibri"/>
      <family val="2"/>
      <scheme val="minor"/>
    </font>
    <font>
      <b/>
      <sz val="11"/>
      <name val="Calibri"/>
      <family val="2"/>
      <scheme val="minor"/>
    </font>
    <font>
      <sz val="11"/>
      <color theme="1"/>
      <name val="Calibri"/>
      <family val="2"/>
      <scheme val="minor"/>
    </font>
    <font>
      <vertAlign val="subscript"/>
      <sz val="11"/>
      <color theme="1"/>
      <name val="Calibri"/>
      <family val="2"/>
      <scheme val="minor"/>
    </font>
    <font>
      <sz val="11"/>
      <color theme="5"/>
      <name val="Calibri"/>
      <family val="2"/>
      <scheme val="minor"/>
    </font>
    <font>
      <b/>
      <sz val="12"/>
      <name val="Calibri"/>
      <family val="2"/>
      <scheme val="minor"/>
    </font>
    <font>
      <b/>
      <vertAlign val="subscript"/>
      <sz val="12"/>
      <name val="Calibri"/>
      <family val="2"/>
      <scheme val="minor"/>
    </font>
    <font>
      <b/>
      <sz val="11"/>
      <color theme="3"/>
      <name val="Calibri"/>
      <family val="2"/>
      <scheme val="minor"/>
    </font>
    <font>
      <sz val="11"/>
      <color theme="3"/>
      <name val="Calibri"/>
      <family val="2"/>
      <scheme val="minor"/>
    </font>
    <font>
      <i/>
      <sz val="11"/>
      <color theme="3"/>
      <name val="Calibri"/>
      <family val="2"/>
      <scheme val="minor"/>
    </font>
    <font>
      <b/>
      <sz val="14"/>
      <name val="Calibri"/>
      <family val="2"/>
      <scheme val="minor"/>
    </font>
    <font>
      <b/>
      <vertAlign val="subscript"/>
      <sz val="11"/>
      <name val="Calibri"/>
      <family val="2"/>
      <scheme val="minor"/>
    </font>
    <font>
      <sz val="1"/>
      <name val="Calibri"/>
      <family val="2"/>
      <scheme val="minor"/>
    </font>
    <font>
      <b/>
      <sz val="14"/>
      <color rgb="FF4472C4"/>
      <name val="Calibri"/>
      <family val="2"/>
      <scheme val="minor"/>
    </font>
    <font>
      <i/>
      <sz val="11"/>
      <name val="Calibri"/>
      <family val="2"/>
      <scheme val="minor"/>
    </font>
    <font>
      <b/>
      <i/>
      <sz val="11"/>
      <name val="Calibri"/>
      <family val="2"/>
      <scheme val="minor"/>
    </font>
    <font>
      <b/>
      <i/>
      <sz val="11"/>
      <color rgb="FF4472C4"/>
      <name val="Calibri"/>
      <family val="2"/>
      <scheme val="minor"/>
    </font>
    <font>
      <b/>
      <u/>
      <sz val="11"/>
      <color theme="5"/>
      <name val="Calibri"/>
      <family val="2"/>
      <scheme val="minor"/>
    </font>
    <font>
      <b/>
      <vertAlign val="superscript"/>
      <sz val="11"/>
      <name val="Calibri"/>
      <family val="2"/>
      <scheme val="minor"/>
    </font>
    <font>
      <b/>
      <sz val="11"/>
      <color rgb="FF4472C4"/>
      <name val="Calibri"/>
      <family val="2"/>
      <scheme val="minor"/>
    </font>
    <font>
      <b/>
      <vertAlign val="subscript"/>
      <sz val="14"/>
      <color rgb="FF4472C4"/>
      <name val="Calibri"/>
      <family val="2"/>
      <scheme val="minor"/>
    </font>
    <font>
      <b/>
      <sz val="12"/>
      <color theme="1"/>
      <name val="Calibri"/>
      <family val="2"/>
      <scheme val="minor"/>
    </font>
    <font>
      <b/>
      <sz val="16"/>
      <color rgb="FF4472C4"/>
      <name val="Calibri"/>
      <family val="2"/>
      <scheme val="minor"/>
    </font>
    <font>
      <i/>
      <sz val="10"/>
      <color rgb="FF4472C4"/>
      <name val="Calibri"/>
      <family val="2"/>
      <scheme val="minor"/>
    </font>
    <font>
      <b/>
      <sz val="16"/>
      <name val="Calibri"/>
      <family val="2"/>
      <scheme val="minor"/>
    </font>
    <font>
      <sz val="11"/>
      <color rgb="FF4472C4"/>
      <name val="Calibri"/>
      <family val="2"/>
      <scheme val="minor"/>
    </font>
    <font>
      <b/>
      <sz val="14"/>
      <color theme="4"/>
      <name val="Calibri"/>
      <family val="2"/>
      <scheme val="minor"/>
    </font>
    <font>
      <i/>
      <sz val="11"/>
      <color theme="1"/>
      <name val="Calibri"/>
      <family val="2"/>
      <scheme val="minor"/>
    </font>
    <font>
      <b/>
      <i/>
      <u/>
      <sz val="11"/>
      <name val="Calibri"/>
      <family val="2"/>
      <scheme val="minor"/>
    </font>
    <font>
      <b/>
      <u/>
      <sz val="14"/>
      <color theme="1"/>
      <name val="Calibri"/>
      <family val="2"/>
      <scheme val="minor"/>
    </font>
    <font>
      <u/>
      <sz val="11"/>
      <color theme="1"/>
      <name val="Calibri"/>
      <family val="2"/>
      <scheme val="minor"/>
    </font>
    <font>
      <b/>
      <sz val="18"/>
      <color theme="1"/>
      <name val="Yu Gothic UI Semibold"/>
      <family val="2"/>
    </font>
    <font>
      <sz val="14"/>
      <color theme="1"/>
      <name val="Yu Gothic UI Light"/>
      <family val="2"/>
    </font>
    <font>
      <sz val="24"/>
      <color theme="1"/>
      <name val="Yu Gothic UI Light"/>
      <family val="2"/>
    </font>
    <font>
      <sz val="11"/>
      <color theme="1"/>
      <name val="Yu Gothic UI Semibold"/>
      <family val="2"/>
    </font>
    <font>
      <sz val="36"/>
      <color theme="1"/>
      <name val="Yu Gothic UI Semibold"/>
      <family val="2"/>
    </font>
    <font>
      <sz val="9"/>
      <color theme="1"/>
      <name val="Yu Gothic UI Light"/>
      <family val="2"/>
    </font>
    <font>
      <sz val="9"/>
      <color theme="1"/>
      <name val="Yu Gothic UI Semibold"/>
      <family val="2"/>
    </font>
    <font>
      <vertAlign val="subscript"/>
      <sz val="9"/>
      <color theme="1"/>
      <name val="Yu Gothic UI Light"/>
      <family val="2"/>
    </font>
    <font>
      <sz val="9"/>
      <name val="Yu Gothic UI Light"/>
      <family val="2"/>
    </font>
    <font>
      <sz val="11"/>
      <color rgb="FF4472C4"/>
      <name val="Yu Gothic UI Semibold"/>
      <family val="2"/>
    </font>
    <font>
      <sz val="11"/>
      <color theme="0"/>
      <name val="Yu Gothic UI Semibold"/>
      <family val="2"/>
    </font>
    <font>
      <sz val="72"/>
      <color theme="0"/>
      <name val="Aptos Narrow"/>
      <family val="2"/>
    </font>
    <font>
      <i/>
      <sz val="10"/>
      <color theme="1"/>
      <name val="Calibri"/>
      <family val="2"/>
      <scheme val="minor"/>
    </font>
    <font>
      <i/>
      <u/>
      <sz val="11"/>
      <name val="Calibri"/>
      <family val="2"/>
      <scheme val="minor"/>
    </font>
    <font>
      <sz val="9"/>
      <color rgb="FF4472C4"/>
      <name val="Yu Gothic UI Semibold"/>
      <family val="2"/>
    </font>
    <font>
      <sz val="11"/>
      <color rgb="FF5BBEFF"/>
      <name val="Yu Gothic UI Semibold"/>
      <family val="2"/>
    </font>
    <font>
      <sz val="9"/>
      <color theme="1"/>
      <name val="Calibri"/>
      <family val="2"/>
      <scheme val="minor"/>
    </font>
    <font>
      <sz val="16"/>
      <color theme="1"/>
      <name val="Yu Gothic UI Light"/>
      <family val="2"/>
    </font>
    <font>
      <vertAlign val="subscript"/>
      <sz val="14"/>
      <color theme="1"/>
      <name val="Yu Gothic UI Light"/>
      <family val="2"/>
    </font>
    <font>
      <b/>
      <sz val="14"/>
      <color theme="1" tint="0.499984740745262"/>
      <name val="Calibri"/>
      <family val="2"/>
      <scheme val="minor"/>
    </font>
    <font>
      <b/>
      <vertAlign val="subscript"/>
      <sz val="14"/>
      <color theme="1" tint="0.499984740745262"/>
      <name val="Calibri"/>
      <family val="2"/>
      <scheme val="minor"/>
    </font>
    <font>
      <b/>
      <sz val="8"/>
      <color theme="1"/>
      <name val="Calibri"/>
      <family val="2"/>
      <scheme val="minor"/>
    </font>
    <font>
      <sz val="1"/>
      <color theme="0"/>
      <name val="Calibri"/>
      <family val="2"/>
      <scheme val="minor"/>
    </font>
    <font>
      <b/>
      <sz val="10"/>
      <color theme="1"/>
      <name val="Calibri"/>
      <family val="2"/>
      <scheme val="minor"/>
    </font>
    <font>
      <b/>
      <u/>
      <sz val="12"/>
      <color theme="5"/>
      <name val="Calibri"/>
      <family val="2"/>
      <scheme val="minor"/>
    </font>
    <font>
      <sz val="9"/>
      <color indexed="81"/>
      <name val="Segoe UI"/>
      <family val="2"/>
    </font>
    <font>
      <i/>
      <sz val="10"/>
      <name val="Calibri"/>
      <family val="2"/>
      <scheme val="minor"/>
    </font>
    <font>
      <i/>
      <sz val="9"/>
      <color theme="1"/>
      <name val="Yu Gothic UI Light"/>
      <family val="2"/>
    </font>
    <font>
      <sz val="11"/>
      <color theme="9"/>
      <name val="Calibri"/>
      <family val="2"/>
      <scheme val="minor"/>
    </font>
    <font>
      <b/>
      <sz val="14"/>
      <color theme="9"/>
      <name val="Calibri"/>
      <family val="2"/>
      <scheme val="minor"/>
    </font>
    <font>
      <vertAlign val="subscript"/>
      <sz val="11"/>
      <name val="Calibri"/>
      <family val="2"/>
      <scheme val="minor"/>
    </font>
    <font>
      <b/>
      <vertAlign val="subscript"/>
      <sz val="11"/>
      <color theme="0"/>
      <name val="Calibri"/>
      <family val="2"/>
      <scheme val="minor"/>
    </font>
    <font>
      <b/>
      <sz val="14"/>
      <color theme="0"/>
      <name val="Calibri"/>
      <family val="2"/>
      <scheme val="minor"/>
    </font>
    <font>
      <b/>
      <vertAlign val="superscript"/>
      <sz val="11"/>
      <color theme="0"/>
      <name val="Calibri"/>
      <family val="2"/>
      <scheme val="minor"/>
    </font>
    <font>
      <b/>
      <vertAlign val="subscript"/>
      <sz val="12"/>
      <color theme="1"/>
      <name val="Calibri"/>
      <family val="2"/>
      <scheme val="minor"/>
    </font>
    <font>
      <b/>
      <sz val="10"/>
      <name val="Calibri"/>
      <family val="2"/>
      <scheme val="minor"/>
    </font>
    <font>
      <sz val="11"/>
      <color theme="1"/>
      <name val="Segoe UI Symbol"/>
      <family val="2"/>
    </font>
    <font>
      <b/>
      <sz val="9"/>
      <name val="Calibri"/>
      <family val="2"/>
      <scheme val="minor"/>
    </font>
    <font>
      <vertAlign val="superscript"/>
      <sz val="11"/>
      <name val="Calibri"/>
      <family val="2"/>
      <scheme val="minor"/>
    </font>
    <font>
      <i/>
      <u/>
      <sz val="11"/>
      <color theme="10"/>
      <name val="Calibri"/>
      <family val="2"/>
      <scheme val="minor"/>
    </font>
    <font>
      <b/>
      <i/>
      <sz val="11"/>
      <color theme="1"/>
      <name val="Calibri"/>
      <family val="2"/>
      <scheme val="minor"/>
    </font>
  </fonts>
  <fills count="44">
    <fill>
      <patternFill patternType="none"/>
    </fill>
    <fill>
      <patternFill patternType="gray125"/>
    </fill>
    <fill>
      <patternFill patternType="solid">
        <fgColor theme="5"/>
        <bgColor indexed="64"/>
      </patternFill>
    </fill>
    <fill>
      <patternFill patternType="solid">
        <fgColor theme="5"/>
        <bgColor theme="5"/>
      </patternFill>
    </fill>
    <fill>
      <patternFill patternType="solid">
        <fgColor theme="5" tint="0.79998168889431442"/>
        <bgColor theme="5" tint="0.79998168889431442"/>
      </patternFill>
    </fill>
    <fill>
      <patternFill patternType="lightUp"/>
    </fill>
    <fill>
      <patternFill patternType="solid">
        <fgColor theme="1"/>
        <bgColor indexed="64"/>
      </patternFill>
    </fill>
    <fill>
      <patternFill patternType="solid">
        <fgColor theme="9"/>
        <bgColor indexed="64"/>
      </patternFill>
    </fill>
    <fill>
      <patternFill patternType="solid">
        <fgColor theme="0"/>
        <bgColor indexed="64"/>
      </patternFill>
    </fill>
    <fill>
      <patternFill patternType="solid">
        <fgColor theme="7"/>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bgColor theme="4"/>
      </patternFill>
    </fill>
    <fill>
      <patternFill patternType="solid">
        <fgColor rgb="FF5ABEFF"/>
        <bgColor indexed="64"/>
      </patternFill>
    </fill>
    <fill>
      <patternFill patternType="solid">
        <fgColor rgb="FF5ABEFF"/>
        <bgColor rgb="FF5ABEFF"/>
      </patternFill>
    </fill>
    <fill>
      <patternFill patternType="solid">
        <fgColor rgb="FFB7E2FF"/>
        <bgColor theme="4" tint="0.59999389629810485"/>
      </patternFill>
    </fill>
    <fill>
      <patternFill patternType="solid">
        <fgColor rgb="FFEBF6FF"/>
        <bgColor theme="4" tint="0.79998168889431442"/>
      </patternFill>
    </fill>
    <fill>
      <patternFill patternType="solid">
        <fgColor rgb="FF4472C4"/>
        <bgColor indexed="64"/>
      </patternFill>
    </fill>
    <fill>
      <patternFill patternType="solid">
        <fgColor rgb="FFBBE8FF"/>
        <bgColor indexed="64"/>
      </patternFill>
    </fill>
    <fill>
      <patternFill patternType="solid">
        <fgColor theme="3" tint="0.79998168889431442"/>
        <bgColor indexed="64"/>
      </patternFill>
    </fill>
    <fill>
      <patternFill patternType="solid">
        <fgColor rgb="FFBBE8FF"/>
        <bgColor rgb="FF5ABEFF"/>
      </patternFill>
    </fill>
    <fill>
      <patternFill patternType="solid">
        <fgColor rgb="FFDDF4FF"/>
        <bgColor theme="4" tint="0.59999389629810485"/>
      </patternFill>
    </fill>
    <fill>
      <patternFill patternType="solid">
        <fgColor rgb="FFF3F9FF"/>
        <bgColor theme="4" tint="0.79998168889431442"/>
      </patternFill>
    </fill>
    <fill>
      <patternFill patternType="solid">
        <fgColor indexed="65"/>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rgb="FFC7ABFF"/>
        <bgColor indexed="64"/>
      </patternFill>
    </fill>
    <fill>
      <patternFill patternType="solid">
        <fgColor theme="4"/>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bgColor theme="6"/>
      </patternFill>
    </fill>
    <fill>
      <patternFill patternType="solid">
        <fgColor theme="6" tint="0.79998168889431442"/>
        <bgColor indexed="64"/>
      </patternFill>
    </fill>
    <fill>
      <patternFill patternType="solid">
        <fgColor theme="6"/>
        <bgColor indexed="64"/>
      </patternFill>
    </fill>
    <fill>
      <patternFill patternType="solid">
        <fgColor rgb="FFEFF1F5"/>
        <bgColor indexed="64"/>
      </patternFill>
    </fill>
    <fill>
      <patternFill patternType="solid">
        <fgColor theme="6" tint="0.79998168889431442"/>
        <bgColor theme="6" tint="0.79998168889431442"/>
      </patternFill>
    </fill>
    <fill>
      <patternFill patternType="solid">
        <fgColor theme="6" tint="0.59999389629810485"/>
        <bgColor theme="6" tint="0.59999389629810485"/>
      </patternFill>
    </fill>
    <fill>
      <patternFill patternType="solid">
        <fgColor rgb="FFE0D1FF"/>
        <bgColor indexed="64"/>
      </patternFill>
    </fill>
    <fill>
      <patternFill patternType="solid">
        <fgColor theme="8" tint="0.59999389629810485"/>
        <bgColor indexed="64"/>
      </patternFill>
    </fill>
    <fill>
      <patternFill patternType="solid">
        <fgColor theme="8" tint="0.39997558519241921"/>
        <bgColor indexed="64"/>
      </patternFill>
    </fill>
  </fills>
  <borders count="84">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theme="5" tint="0.39997558519241921"/>
      </top>
      <bottom style="thin">
        <color theme="5" tint="0.39997558519241921"/>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theme="5" tint="0.39997558519241921"/>
      </left>
      <right style="thin">
        <color theme="5" tint="0.39997558519241921"/>
      </right>
      <top style="thin">
        <color theme="5" tint="0.39997558519241921"/>
      </top>
      <bottom style="thin">
        <color theme="5" tint="0.39997558519241921"/>
      </bottom>
      <diagonal/>
    </border>
    <border>
      <left style="thin">
        <color theme="5" tint="0.39997558519241921"/>
      </left>
      <right style="thin">
        <color theme="5" tint="0.39997558519241921"/>
      </right>
      <top style="thin">
        <color theme="5" tint="0.39997558519241921"/>
      </top>
      <bottom/>
      <diagonal/>
    </border>
    <border>
      <left/>
      <right style="thin">
        <color indexed="64"/>
      </right>
      <top/>
      <bottom/>
      <diagonal/>
    </border>
    <border>
      <left/>
      <right/>
      <top/>
      <bottom style="thin">
        <color indexed="64"/>
      </bottom>
      <diagonal/>
    </border>
    <border>
      <left style="thin">
        <color indexed="64"/>
      </left>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top style="thin">
        <color theme="0"/>
      </top>
      <bottom/>
      <diagonal/>
    </border>
    <border>
      <left style="thin">
        <color theme="0"/>
      </left>
      <right/>
      <top/>
      <bottom/>
      <diagonal/>
    </border>
    <border>
      <left style="thin">
        <color theme="0"/>
      </left>
      <right/>
      <top style="thick">
        <color theme="0"/>
      </top>
      <bottom/>
      <diagonal/>
    </border>
    <border>
      <left/>
      <right/>
      <top style="thick">
        <color theme="0"/>
      </top>
      <bottom/>
      <diagonal/>
    </border>
    <border>
      <left/>
      <right/>
      <top style="thin">
        <color theme="0"/>
      </top>
      <bottom/>
      <diagonal/>
    </border>
    <border>
      <left style="thin">
        <color theme="0"/>
      </left>
      <right style="thin">
        <color theme="0"/>
      </right>
      <top/>
      <bottom/>
      <diagonal/>
    </border>
    <border>
      <left/>
      <right style="thin">
        <color theme="0"/>
      </right>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medium">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top/>
      <bottom style="thin">
        <color theme="0"/>
      </bottom>
      <diagonal/>
    </border>
    <border>
      <left style="thin">
        <color rgb="FF4472C4"/>
      </left>
      <right style="thin">
        <color rgb="FF4472C4"/>
      </right>
      <top style="thin">
        <color rgb="FF4472C4"/>
      </top>
      <bottom style="thin">
        <color rgb="FF4472C4"/>
      </bottom>
      <diagonal/>
    </border>
    <border>
      <left style="thin">
        <color rgb="FF4472C4"/>
      </left>
      <right/>
      <top style="thin">
        <color rgb="FF4472C4"/>
      </top>
      <bottom style="thin">
        <color rgb="FF4472C4"/>
      </bottom>
      <diagonal/>
    </border>
    <border>
      <left/>
      <right/>
      <top style="thin">
        <color rgb="FF4472C4"/>
      </top>
      <bottom style="thin">
        <color rgb="FF4472C4"/>
      </bottom>
      <diagonal/>
    </border>
    <border>
      <left/>
      <right style="thin">
        <color rgb="FF4472C4"/>
      </right>
      <top style="thin">
        <color rgb="FF4472C4"/>
      </top>
      <bottom style="thin">
        <color rgb="FF4472C4"/>
      </bottom>
      <diagonal/>
    </border>
    <border>
      <left style="thin">
        <color indexed="64"/>
      </left>
      <right style="thin">
        <color rgb="FF4472C4"/>
      </right>
      <top style="thin">
        <color indexed="64"/>
      </top>
      <bottom style="thin">
        <color indexed="64"/>
      </bottom>
      <diagonal/>
    </border>
    <border>
      <left style="thin">
        <color rgb="FF4472C4"/>
      </left>
      <right style="thin">
        <color rgb="FF4472C4"/>
      </right>
      <top style="thin">
        <color indexed="64"/>
      </top>
      <bottom style="thin">
        <color indexed="64"/>
      </bottom>
      <diagonal/>
    </border>
    <border>
      <left style="thin">
        <color rgb="FF4472C4"/>
      </left>
      <right style="thin">
        <color indexed="64"/>
      </right>
      <top style="thin">
        <color indexed="64"/>
      </top>
      <bottom style="thin">
        <color indexed="64"/>
      </bottom>
      <diagonal/>
    </border>
    <border>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0"/>
      </left>
      <right style="thin">
        <color theme="0"/>
      </right>
      <top/>
      <bottom style="thick">
        <color theme="0"/>
      </bottom>
      <diagonal/>
    </border>
    <border>
      <left/>
      <right style="thin">
        <color theme="0"/>
      </right>
      <top/>
      <bottom/>
      <diagonal/>
    </border>
    <border>
      <left style="medium">
        <color indexed="64"/>
      </left>
      <right/>
      <top style="thin">
        <color indexed="64"/>
      </top>
      <bottom/>
      <diagonal/>
    </border>
    <border>
      <left/>
      <right style="medium">
        <color indexed="64"/>
      </right>
      <top style="thin">
        <color indexed="64"/>
      </top>
      <bottom/>
      <diagonal/>
    </border>
    <border>
      <left/>
      <right style="thin">
        <color theme="0"/>
      </right>
      <top style="thin">
        <color theme="0"/>
      </top>
      <bottom style="medium">
        <color theme="0"/>
      </bottom>
      <diagonal/>
    </border>
    <border>
      <left style="thin">
        <color indexed="64"/>
      </left>
      <right style="thick">
        <color theme="0"/>
      </right>
      <top style="thick">
        <color theme="0"/>
      </top>
      <bottom style="thin">
        <color indexed="64"/>
      </bottom>
      <diagonal/>
    </border>
    <border>
      <left style="thick">
        <color theme="0"/>
      </left>
      <right style="thin">
        <color indexed="64"/>
      </right>
      <top/>
      <bottom style="thick">
        <color theme="0"/>
      </bottom>
      <diagonal/>
    </border>
    <border>
      <left style="thin">
        <color indexed="64"/>
      </left>
      <right style="thick">
        <color theme="0"/>
      </right>
      <top/>
      <bottom style="thick">
        <color theme="0"/>
      </bottom>
      <diagonal/>
    </border>
    <border>
      <left style="thin">
        <color indexed="64"/>
      </left>
      <right/>
      <top style="thick">
        <color theme="0"/>
      </top>
      <bottom style="thin">
        <color indexed="64"/>
      </bottom>
      <diagonal/>
    </border>
    <border>
      <left style="thick">
        <color theme="0"/>
      </left>
      <right style="thin">
        <color indexed="64"/>
      </right>
      <top style="thick">
        <color theme="0"/>
      </top>
      <bottom style="thin">
        <color indexed="64"/>
      </bottom>
      <diagonal/>
    </border>
    <border>
      <left style="thin">
        <color theme="0"/>
      </left>
      <right style="medium">
        <color theme="0"/>
      </right>
      <top style="thin">
        <color theme="0"/>
      </top>
      <bottom style="thin">
        <color theme="0"/>
      </bottom>
      <diagonal/>
    </border>
    <border>
      <left style="thin">
        <color theme="0"/>
      </left>
      <right style="medium">
        <color theme="0"/>
      </right>
      <top style="thin">
        <color theme="0"/>
      </top>
      <bottom style="medium">
        <color theme="0"/>
      </bottom>
      <diagonal/>
    </border>
    <border>
      <left style="thin">
        <color theme="0"/>
      </left>
      <right style="medium">
        <color theme="0"/>
      </right>
      <top/>
      <bottom style="thin">
        <color theme="0"/>
      </bottom>
      <diagonal/>
    </border>
    <border>
      <left/>
      <right style="medium">
        <color theme="0"/>
      </right>
      <top style="thin">
        <color theme="0"/>
      </top>
      <bottom style="thin">
        <color theme="0"/>
      </bottom>
      <diagonal/>
    </border>
    <border>
      <left/>
      <right style="medium">
        <color theme="0"/>
      </right>
      <top/>
      <bottom style="thin">
        <color theme="0"/>
      </bottom>
      <diagonal/>
    </border>
    <border>
      <left/>
      <right style="medium">
        <color theme="0"/>
      </right>
      <top/>
      <bottom/>
      <diagonal/>
    </border>
    <border>
      <left style="medium">
        <color theme="0"/>
      </left>
      <right style="medium">
        <color theme="0"/>
      </right>
      <top style="thin">
        <color theme="0"/>
      </top>
      <bottom style="thin">
        <color theme="0"/>
      </bottom>
      <diagonal/>
    </border>
    <border>
      <left style="medium">
        <color theme="0"/>
      </left>
      <right style="medium">
        <color theme="0"/>
      </right>
      <top style="thin">
        <color theme="0"/>
      </top>
      <bottom style="medium">
        <color theme="0"/>
      </bottom>
      <diagonal/>
    </border>
    <border>
      <left style="medium">
        <color theme="0"/>
      </left>
      <right style="medium">
        <color theme="0"/>
      </right>
      <top/>
      <bottom/>
      <diagonal/>
    </border>
  </borders>
  <cellStyleXfs count="5">
    <xf numFmtId="0" fontId="0" fillId="0" borderId="0"/>
    <xf numFmtId="0" fontId="4" fillId="0" borderId="0" applyNumberForma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43" fontId="20" fillId="0" borderId="0" applyFont="0" applyFill="0" applyBorder="0" applyAlignment="0" applyProtection="0"/>
  </cellStyleXfs>
  <cellXfs count="71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1" fillId="0" borderId="0" xfId="0" applyFont="1" applyAlignment="1">
      <alignment horizontal="left" vertical="top" wrapText="1"/>
    </xf>
    <xf numFmtId="0" fontId="3" fillId="0" borderId="0" xfId="0" applyFont="1"/>
    <xf numFmtId="0" fontId="0" fillId="0" borderId="0" xfId="0" applyAlignment="1">
      <alignment horizontal="left"/>
    </xf>
    <xf numFmtId="0" fontId="0" fillId="0" borderId="8" xfId="0" applyBorder="1"/>
    <xf numFmtId="0" fontId="5" fillId="0" borderId="0" xfId="0" applyFont="1"/>
    <xf numFmtId="0" fontId="0" fillId="0" borderId="0" xfId="0" applyAlignment="1">
      <alignment vertical="center"/>
    </xf>
    <xf numFmtId="0" fontId="0" fillId="0" borderId="0" xfId="0" applyAlignment="1">
      <alignment vertical="top" wrapText="1"/>
    </xf>
    <xf numFmtId="0" fontId="7" fillId="0" borderId="0" xfId="0" applyFont="1" applyAlignment="1">
      <alignment horizontal="left" vertical="center"/>
    </xf>
    <xf numFmtId="0" fontId="9" fillId="0" borderId="0" xfId="0" applyFont="1"/>
    <xf numFmtId="0" fontId="3" fillId="0" borderId="0" xfId="0" applyFont="1" applyAlignment="1">
      <alignment horizontal="center" vertical="center" textRotation="90"/>
    </xf>
    <xf numFmtId="0" fontId="3" fillId="0" borderId="0" xfId="0" applyFont="1" applyAlignment="1">
      <alignment horizontal="center" vertical="center" textRotation="90" wrapText="1"/>
    </xf>
    <xf numFmtId="0" fontId="0" fillId="0" borderId="0" xfId="0" applyAlignment="1">
      <alignment vertical="top"/>
    </xf>
    <xf numFmtId="0" fontId="13" fillId="0" borderId="0" xfId="0" applyFont="1"/>
    <xf numFmtId="0" fontId="14" fillId="0" borderId="0" xfId="0" applyFont="1" applyAlignment="1">
      <alignment horizontal="left"/>
    </xf>
    <xf numFmtId="0" fontId="0" fillId="4" borderId="12" xfId="0" applyFill="1" applyBorder="1"/>
    <xf numFmtId="0" fontId="0" fillId="0" borderId="12" xfId="0" applyBorder="1"/>
    <xf numFmtId="0" fontId="0" fillId="4" borderId="13" xfId="0" applyFill="1" applyBorder="1"/>
    <xf numFmtId="0" fontId="0" fillId="0" borderId="13" xfId="0" applyBorder="1"/>
    <xf numFmtId="0" fontId="8" fillId="3" borderId="13" xfId="0" applyFont="1" applyFill="1" applyBorder="1"/>
    <xf numFmtId="0" fontId="1" fillId="0" borderId="0" xfId="0" applyFont="1" applyAlignment="1">
      <alignmen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6" fillId="0" borderId="0" xfId="0" applyFont="1" applyAlignment="1">
      <alignment horizontal="left"/>
    </xf>
    <xf numFmtId="0" fontId="17" fillId="0" borderId="0" xfId="0" applyFont="1" applyAlignment="1">
      <alignment vertical="center"/>
    </xf>
    <xf numFmtId="0" fontId="0" fillId="6" borderId="0" xfId="0" applyFill="1"/>
    <xf numFmtId="0" fontId="0" fillId="6" borderId="0" xfId="0" applyFill="1" applyAlignment="1">
      <alignment vertical="top"/>
    </xf>
    <xf numFmtId="0" fontId="0" fillId="6" borderId="0" xfId="0" applyFill="1" applyAlignment="1">
      <alignment vertical="top" wrapText="1"/>
    </xf>
    <xf numFmtId="0" fontId="5" fillId="6" borderId="0" xfId="0" applyFont="1" applyFill="1"/>
    <xf numFmtId="0" fontId="8" fillId="3" borderId="12" xfId="0" applyFont="1" applyFill="1" applyBorder="1"/>
    <xf numFmtId="0" fontId="9" fillId="0" borderId="0" xfId="0" applyFont="1" applyAlignment="1">
      <alignment vertical="center"/>
    </xf>
    <xf numFmtId="0" fontId="0" fillId="0" borderId="21" xfId="0" applyBorder="1"/>
    <xf numFmtId="0" fontId="0" fillId="0" borderId="22" xfId="0" applyBorder="1"/>
    <xf numFmtId="0" fontId="18" fillId="0" borderId="0" xfId="0" applyFont="1" applyAlignment="1">
      <alignment vertical="center"/>
    </xf>
    <xf numFmtId="0" fontId="0" fillId="0" borderId="21" xfId="0" applyBorder="1" applyAlignment="1">
      <alignment vertical="center"/>
    </xf>
    <xf numFmtId="0" fontId="0" fillId="0" borderId="0" xfId="0" applyAlignment="1">
      <alignment vertical="center" wrapText="1"/>
    </xf>
    <xf numFmtId="0" fontId="5" fillId="0" borderId="0" xfId="0" applyFont="1" applyAlignment="1">
      <alignment vertical="center"/>
    </xf>
    <xf numFmtId="0" fontId="0" fillId="0" borderId="22" xfId="0" applyBorder="1" applyAlignment="1">
      <alignment vertical="center"/>
    </xf>
    <xf numFmtId="0" fontId="10" fillId="0" borderId="0" xfId="0" applyFont="1" applyAlignment="1">
      <alignment vertical="top"/>
    </xf>
    <xf numFmtId="0" fontId="10" fillId="0" borderId="0" xfId="0" applyFont="1"/>
    <xf numFmtId="0" fontId="0" fillId="0" borderId="23" xfId="0" applyBorder="1"/>
    <xf numFmtId="0" fontId="0" fillId="0" borderId="17" xfId="0" applyBorder="1" applyAlignment="1">
      <alignment vertical="top"/>
    </xf>
    <xf numFmtId="0" fontId="0" fillId="0" borderId="17" xfId="0" applyBorder="1" applyAlignment="1">
      <alignment vertical="top" wrapText="1"/>
    </xf>
    <xf numFmtId="0" fontId="0" fillId="0" borderId="17" xfId="0" applyBorder="1"/>
    <xf numFmtId="0" fontId="5" fillId="0" borderId="17" xfId="0" applyFont="1" applyBorder="1"/>
    <xf numFmtId="0" fontId="0" fillId="0" borderId="24" xfId="0" applyBorder="1"/>
    <xf numFmtId="0" fontId="10" fillId="0" borderId="0" xfId="0" applyFont="1" applyAlignment="1">
      <alignment vertical="center"/>
    </xf>
    <xf numFmtId="0" fontId="0" fillId="0" borderId="14" xfId="0" applyBorder="1"/>
    <xf numFmtId="0" fontId="0" fillId="0" borderId="15" xfId="0" applyBorder="1"/>
    <xf numFmtId="0" fontId="22" fillId="0" borderId="0" xfId="0" applyFont="1"/>
    <xf numFmtId="0" fontId="11" fillId="0" borderId="0" xfId="0" applyFont="1" applyAlignment="1">
      <alignment horizontal="left" vertical="center"/>
    </xf>
    <xf numFmtId="0" fontId="1" fillId="0" borderId="0" xfId="0" applyFont="1" applyAlignment="1">
      <alignment vertical="center"/>
    </xf>
    <xf numFmtId="0" fontId="0" fillId="0" borderId="0" xfId="0" applyAlignment="1">
      <alignment horizontal="left" vertical="top" wrapText="1"/>
    </xf>
    <xf numFmtId="0" fontId="15" fillId="8" borderId="16" xfId="0" applyFont="1" applyFill="1" applyBorder="1"/>
    <xf numFmtId="0" fontId="15" fillId="8" borderId="16" xfId="0" applyFont="1" applyFill="1" applyBorder="1" applyAlignment="1">
      <alignment vertical="top"/>
    </xf>
    <xf numFmtId="0" fontId="1" fillId="7" borderId="3" xfId="0" applyFont="1" applyFill="1" applyBorder="1" applyAlignment="1">
      <alignment vertical="center"/>
    </xf>
    <xf numFmtId="0" fontId="1" fillId="9" borderId="3" xfId="0" applyFont="1" applyFill="1" applyBorder="1" applyAlignment="1">
      <alignment vertical="center"/>
    </xf>
    <xf numFmtId="0" fontId="1" fillId="0" borderId="16" xfId="0" applyFont="1" applyBorder="1" applyAlignment="1">
      <alignment vertical="center"/>
    </xf>
    <xf numFmtId="0" fontId="1" fillId="8" borderId="16" xfId="0" applyFont="1" applyFill="1" applyBorder="1"/>
    <xf numFmtId="0" fontId="0" fillId="8" borderId="16" xfId="0" applyFill="1" applyBorder="1"/>
    <xf numFmtId="0" fontId="0" fillId="8" borderId="16" xfId="0" applyFill="1" applyBorder="1" applyAlignment="1">
      <alignment vertical="top"/>
    </xf>
    <xf numFmtId="0" fontId="1" fillId="0" borderId="7" xfId="0" applyFont="1" applyBorder="1" applyAlignment="1">
      <alignment vertical="center"/>
    </xf>
    <xf numFmtId="0" fontId="0" fillId="5" borderId="3" xfId="0" applyFill="1" applyBorder="1"/>
    <xf numFmtId="0" fontId="0" fillId="8" borderId="0" xfId="0" applyFill="1" applyAlignment="1">
      <alignment horizontal="left" wrapText="1"/>
    </xf>
    <xf numFmtId="0" fontId="15" fillId="8" borderId="14" xfId="0" applyFont="1" applyFill="1" applyBorder="1"/>
    <xf numFmtId="0" fontId="15" fillId="8" borderId="14" xfId="0" applyFont="1" applyFill="1" applyBorder="1" applyAlignment="1">
      <alignment vertical="top"/>
    </xf>
    <xf numFmtId="0" fontId="1" fillId="0" borderId="14" xfId="0" applyFont="1" applyBorder="1" applyAlignment="1">
      <alignment vertical="center"/>
    </xf>
    <xf numFmtId="0" fontId="0" fillId="0" borderId="16" xfId="0" applyBorder="1"/>
    <xf numFmtId="0" fontId="0" fillId="8" borderId="1" xfId="0" applyFill="1" applyBorder="1" applyAlignment="1">
      <alignment vertical="top"/>
    </xf>
    <xf numFmtId="0" fontId="1" fillId="0" borderId="16" xfId="0" applyFont="1" applyBorder="1" applyAlignment="1">
      <alignment horizontal="left" vertical="center"/>
    </xf>
    <xf numFmtId="0" fontId="1" fillId="0" borderId="14" xfId="0" applyFont="1" applyBorder="1" applyAlignment="1">
      <alignment horizontal="left" vertical="center"/>
    </xf>
    <xf numFmtId="0" fontId="0" fillId="8" borderId="15" xfId="0" applyFill="1" applyBorder="1" applyAlignment="1">
      <alignment vertical="top"/>
    </xf>
    <xf numFmtId="14" fontId="0" fillId="8" borderId="15" xfId="0" applyNumberFormat="1" applyFill="1" applyBorder="1" applyAlignment="1">
      <alignment horizontal="left" vertical="top"/>
    </xf>
    <xf numFmtId="0" fontId="1" fillId="8" borderId="16" xfId="0" applyFont="1" applyFill="1" applyBorder="1" applyAlignment="1">
      <alignment horizontal="left" vertical="top" wrapText="1"/>
    </xf>
    <xf numFmtId="0" fontId="1" fillId="8" borderId="1" xfId="0" applyFont="1" applyFill="1" applyBorder="1" applyAlignment="1">
      <alignment horizontal="left" vertical="top" wrapText="1"/>
    </xf>
    <xf numFmtId="0" fontId="1" fillId="8" borderId="1" xfId="0" applyFont="1" applyFill="1" applyBorder="1"/>
    <xf numFmtId="0" fontId="27" fillId="0" borderId="0" xfId="0" applyFont="1" applyAlignment="1">
      <alignment vertical="center" wrapText="1"/>
    </xf>
    <xf numFmtId="0" fontId="26" fillId="0" borderId="0" xfId="0" applyFont="1"/>
    <xf numFmtId="0" fontId="27" fillId="0" borderId="0" xfId="0" applyFont="1" applyAlignment="1">
      <alignment horizontal="left" vertical="center"/>
    </xf>
    <xf numFmtId="0" fontId="25" fillId="0" borderId="0" xfId="0" applyFont="1" applyAlignment="1">
      <alignment horizontal="left" vertical="top"/>
    </xf>
    <xf numFmtId="0" fontId="3" fillId="0" borderId="0" xfId="0" applyFont="1" applyAlignment="1">
      <alignment vertical="top"/>
    </xf>
    <xf numFmtId="0" fontId="8" fillId="0" borderId="0" xfId="0" applyFont="1" applyAlignment="1">
      <alignment vertical="center" wrapText="1"/>
    </xf>
    <xf numFmtId="0" fontId="8" fillId="0" borderId="0" xfId="0" applyFont="1" applyAlignment="1">
      <alignment wrapText="1"/>
    </xf>
    <xf numFmtId="0" fontId="0" fillId="0" borderId="0" xfId="0" applyAlignment="1" applyProtection="1">
      <alignment wrapText="1"/>
      <protection locked="0"/>
    </xf>
    <xf numFmtId="0" fontId="0" fillId="0" borderId="0" xfId="0" applyAlignment="1" applyProtection="1">
      <alignment horizontal="left"/>
      <protection locked="0"/>
    </xf>
    <xf numFmtId="49" fontId="0" fillId="0" borderId="0" xfId="0" applyNumberFormat="1" applyAlignment="1" applyProtection="1">
      <alignment wrapText="1"/>
      <protection locked="0"/>
    </xf>
    <xf numFmtId="0" fontId="0" fillId="0" borderId="0" xfId="0" applyProtection="1">
      <protection locked="0"/>
    </xf>
    <xf numFmtId="0" fontId="0" fillId="0" borderId="0" xfId="0" applyAlignment="1" applyProtection="1">
      <alignment vertical="top" wrapText="1"/>
      <protection locked="0"/>
    </xf>
    <xf numFmtId="0" fontId="0" fillId="8" borderId="15" xfId="0" applyFill="1" applyBorder="1" applyAlignment="1">
      <alignment horizontal="left" vertical="top"/>
    </xf>
    <xf numFmtId="0" fontId="0" fillId="8" borderId="2" xfId="0" applyFill="1" applyBorder="1" applyAlignment="1">
      <alignment horizontal="left" vertical="top"/>
    </xf>
    <xf numFmtId="0" fontId="0" fillId="8" borderId="14" xfId="0" applyFill="1" applyBorder="1" applyAlignment="1">
      <alignment horizontal="left" vertical="top"/>
    </xf>
    <xf numFmtId="0" fontId="0" fillId="0" borderId="0" xfId="0" applyAlignment="1" applyProtection="1">
      <alignment vertical="top"/>
      <protection locked="0"/>
    </xf>
    <xf numFmtId="164" fontId="4" fillId="0" borderId="0" xfId="1" applyNumberFormat="1" applyAlignment="1">
      <alignment vertical="center"/>
    </xf>
    <xf numFmtId="0" fontId="19" fillId="19" borderId="0" xfId="0" applyFont="1" applyFill="1" applyAlignment="1">
      <alignment vertical="top" wrapText="1"/>
    </xf>
    <xf numFmtId="0" fontId="1" fillId="19" borderId="0" xfId="0" applyFont="1" applyFill="1" applyAlignment="1">
      <alignment vertical="top" wrapText="1"/>
    </xf>
    <xf numFmtId="0" fontId="0" fillId="0" borderId="0" xfId="0" applyAlignment="1">
      <alignment horizontal="center"/>
    </xf>
    <xf numFmtId="0" fontId="0" fillId="10" borderId="27" xfId="0" applyFill="1" applyBorder="1" applyAlignment="1">
      <alignment horizontal="left" vertical="center"/>
    </xf>
    <xf numFmtId="0" fontId="0" fillId="10" borderId="27" xfId="0" applyFill="1" applyBorder="1" applyAlignment="1">
      <alignment horizontal="center" vertical="center"/>
    </xf>
    <xf numFmtId="0" fontId="0" fillId="11" borderId="25" xfId="0" applyFill="1" applyBorder="1" applyAlignment="1">
      <alignment horizontal="left" vertical="center"/>
    </xf>
    <xf numFmtId="0" fontId="0" fillId="11" borderId="25" xfId="0" applyFill="1" applyBorder="1" applyAlignment="1">
      <alignment horizontal="center" vertical="center"/>
    </xf>
    <xf numFmtId="0" fontId="0" fillId="10" borderId="25" xfId="0" applyFill="1" applyBorder="1" applyAlignment="1">
      <alignment horizontal="left" vertical="center"/>
    </xf>
    <xf numFmtId="0" fontId="0" fillId="10" borderId="25" xfId="0" applyFill="1" applyBorder="1" applyAlignment="1">
      <alignment horizontal="center" vertical="center"/>
    </xf>
    <xf numFmtId="0" fontId="0" fillId="10" borderId="27" xfId="0" applyFill="1" applyBorder="1" applyAlignment="1">
      <alignment vertical="center"/>
    </xf>
    <xf numFmtId="0" fontId="0" fillId="11" borderId="25" xfId="0" applyFill="1" applyBorder="1" applyAlignment="1">
      <alignment vertical="center"/>
    </xf>
    <xf numFmtId="0" fontId="0" fillId="10" borderId="25" xfId="0" applyFill="1" applyBorder="1" applyAlignment="1">
      <alignment vertical="center"/>
    </xf>
    <xf numFmtId="0" fontId="19" fillId="12" borderId="31" xfId="0" applyFont="1" applyFill="1" applyBorder="1" applyAlignment="1">
      <alignment horizontal="left" vertical="center"/>
    </xf>
    <xf numFmtId="0" fontId="19" fillId="0" borderId="0" xfId="0" applyFont="1"/>
    <xf numFmtId="0" fontId="0" fillId="19" borderId="0" xfId="0" applyFill="1"/>
    <xf numFmtId="0" fontId="0" fillId="15" borderId="27" xfId="0" applyFill="1" applyBorder="1" applyAlignment="1">
      <alignment horizontal="left" vertical="center"/>
    </xf>
    <xf numFmtId="0" fontId="0" fillId="15" borderId="27" xfId="0" applyFill="1" applyBorder="1" applyAlignment="1">
      <alignment horizontal="center" vertical="center"/>
    </xf>
    <xf numFmtId="0" fontId="0" fillId="16" borderId="25" xfId="0" applyFill="1" applyBorder="1" applyAlignment="1">
      <alignment horizontal="left" vertical="center"/>
    </xf>
    <xf numFmtId="0" fontId="0" fillId="16" borderId="25" xfId="0" applyFill="1" applyBorder="1" applyAlignment="1">
      <alignment horizontal="center" vertical="center"/>
    </xf>
    <xf numFmtId="0" fontId="0" fillId="15" borderId="25" xfId="0" applyFill="1" applyBorder="1" applyAlignment="1">
      <alignment horizontal="left" vertical="center"/>
    </xf>
    <xf numFmtId="0" fontId="0" fillId="15" borderId="25" xfId="0" applyFill="1" applyBorder="1" applyAlignment="1">
      <alignment horizontal="center" vertical="center"/>
    </xf>
    <xf numFmtId="0" fontId="5" fillId="15" borderId="28" xfId="1" applyFont="1" applyFill="1" applyBorder="1" applyAlignment="1">
      <alignment vertical="center"/>
    </xf>
    <xf numFmtId="0" fontId="0" fillId="15" borderId="27" xfId="0" applyFill="1" applyBorder="1" applyAlignment="1">
      <alignment vertical="center"/>
    </xf>
    <xf numFmtId="0" fontId="5" fillId="16" borderId="29" xfId="1" applyFont="1" applyFill="1" applyBorder="1" applyAlignment="1">
      <alignment vertical="center"/>
    </xf>
    <xf numFmtId="0" fontId="0" fillId="16" borderId="25" xfId="0" applyFill="1" applyBorder="1" applyAlignment="1">
      <alignment vertical="center"/>
    </xf>
    <xf numFmtId="0" fontId="5" fillId="15" borderId="29" xfId="1" applyFont="1" applyFill="1" applyBorder="1" applyAlignment="1">
      <alignment vertical="center"/>
    </xf>
    <xf numFmtId="0" fontId="0" fillId="15" borderId="25" xfId="0" applyFill="1" applyBorder="1" applyAlignment="1">
      <alignment vertical="center"/>
    </xf>
    <xf numFmtId="0" fontId="19" fillId="14" borderId="0" xfId="0" applyFont="1" applyFill="1" applyAlignment="1">
      <alignment vertical="top"/>
    </xf>
    <xf numFmtId="0" fontId="19" fillId="14" borderId="26" xfId="0" applyFont="1" applyFill="1" applyBorder="1" applyAlignment="1">
      <alignment vertical="center"/>
    </xf>
    <xf numFmtId="0" fontId="19" fillId="14" borderId="26" xfId="0" applyFont="1" applyFill="1" applyBorder="1" applyAlignment="1">
      <alignment horizontal="center" vertical="center" wrapText="1"/>
    </xf>
    <xf numFmtId="0" fontId="31" fillId="0" borderId="0" xfId="0" applyFont="1"/>
    <xf numFmtId="0" fontId="35" fillId="0" borderId="0" xfId="1" applyFont="1"/>
    <xf numFmtId="0" fontId="35" fillId="10" borderId="27" xfId="1" applyFont="1" applyFill="1" applyBorder="1" applyAlignment="1">
      <alignment vertical="center"/>
    </xf>
    <xf numFmtId="0" fontId="35" fillId="11" borderId="25" xfId="1" applyFont="1" applyFill="1" applyBorder="1" applyAlignment="1">
      <alignment vertical="center"/>
    </xf>
    <xf numFmtId="0" fontId="35" fillId="10" borderId="25" xfId="1" applyFont="1" applyFill="1" applyBorder="1" applyAlignment="1">
      <alignment vertical="center"/>
    </xf>
    <xf numFmtId="0" fontId="35" fillId="15" borderId="27" xfId="1" applyFont="1" applyFill="1" applyBorder="1" applyAlignment="1">
      <alignment vertical="center"/>
    </xf>
    <xf numFmtId="0" fontId="35" fillId="16" borderId="25" xfId="1" applyFont="1" applyFill="1" applyBorder="1" applyAlignment="1">
      <alignment vertical="center"/>
    </xf>
    <xf numFmtId="0" fontId="35" fillId="15" borderId="25" xfId="1" applyFont="1" applyFill="1" applyBorder="1" applyAlignment="1">
      <alignment vertical="center"/>
    </xf>
    <xf numFmtId="0" fontId="19" fillId="9" borderId="0" xfId="0" applyFont="1" applyFill="1" applyAlignment="1">
      <alignment vertical="top" wrapText="1"/>
    </xf>
    <xf numFmtId="0" fontId="0" fillId="21" borderId="27" xfId="0" applyFill="1" applyBorder="1" applyAlignment="1">
      <alignment horizontal="center" vertical="center"/>
    </xf>
    <xf numFmtId="0" fontId="0" fillId="22" borderId="25" xfId="0" applyFill="1" applyBorder="1" applyAlignment="1">
      <alignment horizontal="center" vertical="center"/>
    </xf>
    <xf numFmtId="0" fontId="0" fillId="21" borderId="25" xfId="0" applyFill="1" applyBorder="1" applyAlignment="1">
      <alignment horizontal="center" vertical="center"/>
    </xf>
    <xf numFmtId="0" fontId="19" fillId="20" borderId="0" xfId="0" applyFont="1" applyFill="1" applyAlignment="1">
      <alignment horizontal="left" vertical="center"/>
    </xf>
    <xf numFmtId="0" fontId="19" fillId="20" borderId="26" xfId="0" applyFont="1" applyFill="1" applyBorder="1" applyAlignment="1">
      <alignment horizontal="left" vertical="center"/>
    </xf>
    <xf numFmtId="0" fontId="19" fillId="20" borderId="26" xfId="0" applyFont="1" applyFill="1" applyBorder="1" applyAlignment="1">
      <alignment horizontal="center" vertical="center" wrapText="1"/>
    </xf>
    <xf numFmtId="0" fontId="0" fillId="21" borderId="28" xfId="0" applyFill="1" applyBorder="1" applyAlignment="1">
      <alignment horizontal="left" vertical="center"/>
    </xf>
    <xf numFmtId="0" fontId="0" fillId="21" borderId="27" xfId="0" applyFill="1" applyBorder="1" applyAlignment="1">
      <alignment vertical="center"/>
    </xf>
    <xf numFmtId="0" fontId="0" fillId="22" borderId="29" xfId="0" applyFill="1" applyBorder="1" applyAlignment="1">
      <alignment horizontal="left" vertical="center"/>
    </xf>
    <xf numFmtId="0" fontId="0" fillId="22" borderId="25" xfId="0" applyFill="1" applyBorder="1" applyAlignment="1">
      <alignment vertical="center"/>
    </xf>
    <xf numFmtId="0" fontId="0" fillId="21" borderId="29" xfId="0" applyFill="1" applyBorder="1" applyAlignment="1">
      <alignment horizontal="left" vertical="center"/>
    </xf>
    <xf numFmtId="0" fontId="0" fillId="21" borderId="25" xfId="0" applyFill="1" applyBorder="1" applyAlignment="1">
      <alignment vertical="center"/>
    </xf>
    <xf numFmtId="0" fontId="35" fillId="21" borderId="27" xfId="1" applyFont="1" applyFill="1" applyBorder="1" applyAlignment="1">
      <alignment vertical="center"/>
    </xf>
    <xf numFmtId="0" fontId="35" fillId="22" borderId="25" xfId="1" applyFont="1" applyFill="1" applyBorder="1" applyAlignment="1">
      <alignment vertical="center"/>
    </xf>
    <xf numFmtId="0" fontId="35" fillId="21" borderId="25" xfId="1" applyFont="1" applyFill="1" applyBorder="1" applyAlignment="1">
      <alignment vertical="center"/>
    </xf>
    <xf numFmtId="0" fontId="19" fillId="0" borderId="0" xfId="0" applyFont="1" applyAlignment="1">
      <alignment vertical="top" wrapText="1"/>
    </xf>
    <xf numFmtId="0" fontId="8" fillId="0" borderId="0" xfId="0" applyFont="1" applyAlignment="1">
      <alignment vertical="top" wrapText="1"/>
    </xf>
    <xf numFmtId="164" fontId="5" fillId="0" borderId="0" xfId="0" applyNumberFormat="1" applyFont="1" applyAlignment="1">
      <alignment vertical="top"/>
    </xf>
    <xf numFmtId="0" fontId="5" fillId="0" borderId="0" xfId="0" applyFont="1" applyAlignment="1">
      <alignment vertical="top"/>
    </xf>
    <xf numFmtId="164" fontId="5" fillId="0" borderId="0" xfId="0" applyNumberFormat="1" applyFont="1" applyAlignment="1" applyProtection="1">
      <alignment vertical="top"/>
      <protection locked="0"/>
    </xf>
    <xf numFmtId="0" fontId="5" fillId="0" borderId="0" xfId="0" applyFont="1" applyAlignment="1" applyProtection="1">
      <alignment vertical="top"/>
      <protection locked="0"/>
    </xf>
    <xf numFmtId="0" fontId="1" fillId="9" borderId="0" xfId="0" applyFont="1" applyFill="1" applyAlignment="1">
      <alignment vertical="top" wrapText="1"/>
    </xf>
    <xf numFmtId="0" fontId="30" fillId="8" borderId="0" xfId="0" applyFont="1" applyFill="1" applyAlignment="1">
      <alignment vertical="top" wrapText="1"/>
    </xf>
    <xf numFmtId="0" fontId="0" fillId="23" borderId="0" xfId="0" applyFill="1" applyAlignment="1">
      <alignment vertical="top"/>
    </xf>
    <xf numFmtId="0" fontId="0" fillId="23" borderId="0" xfId="0" applyFill="1" applyAlignment="1" applyProtection="1">
      <alignment vertical="top"/>
      <protection locked="0"/>
    </xf>
    <xf numFmtId="0" fontId="19" fillId="23" borderId="0" xfId="0" applyFont="1" applyFill="1"/>
    <xf numFmtId="0" fontId="0" fillId="23" borderId="0" xfId="0" applyFill="1"/>
    <xf numFmtId="0" fontId="8" fillId="8" borderId="0" xfId="0" applyFont="1" applyFill="1"/>
    <xf numFmtId="0" fontId="5" fillId="0" borderId="35" xfId="0" applyFont="1" applyBorder="1" applyAlignment="1">
      <alignment vertical="top" wrapText="1"/>
    </xf>
    <xf numFmtId="0" fontId="19" fillId="9" borderId="35" xfId="0" applyFont="1" applyFill="1" applyBorder="1" applyAlignment="1">
      <alignment vertical="center"/>
    </xf>
    <xf numFmtId="0" fontId="0" fillId="18" borderId="35" xfId="0" applyFill="1" applyBorder="1" applyAlignment="1">
      <alignment vertical="center"/>
    </xf>
    <xf numFmtId="0" fontId="0" fillId="18" borderId="35" xfId="0" applyFill="1" applyBorder="1" applyAlignment="1">
      <alignment vertical="top"/>
    </xf>
    <xf numFmtId="0" fontId="14" fillId="0" borderId="35" xfId="0" applyFont="1" applyBorder="1" applyAlignment="1">
      <alignment vertical="center" wrapText="1"/>
    </xf>
    <xf numFmtId="0" fontId="0" fillId="13" borderId="35" xfId="0" applyFill="1" applyBorder="1" applyAlignment="1">
      <alignment vertical="center" wrapText="1"/>
    </xf>
    <xf numFmtId="0" fontId="1" fillId="13" borderId="35" xfId="0" applyFont="1" applyFill="1" applyBorder="1" applyAlignment="1">
      <alignment horizontal="left" vertical="center"/>
    </xf>
    <xf numFmtId="0" fontId="0" fillId="0" borderId="35" xfId="0" applyBorder="1" applyAlignment="1">
      <alignment vertical="top" wrapText="1"/>
    </xf>
    <xf numFmtId="0" fontId="0" fillId="0" borderId="35" xfId="0" applyBorder="1" applyAlignment="1">
      <alignment vertical="top"/>
    </xf>
    <xf numFmtId="0" fontId="0" fillId="19" borderId="35" xfId="0" applyFill="1" applyBorder="1" applyAlignment="1">
      <alignment vertical="top"/>
    </xf>
    <xf numFmtId="0" fontId="0" fillId="19" borderId="35" xfId="0" applyFill="1" applyBorder="1" applyAlignment="1">
      <alignment vertical="top" wrapText="1"/>
    </xf>
    <xf numFmtId="0" fontId="19" fillId="19" borderId="38" xfId="0" applyFont="1" applyFill="1" applyBorder="1" applyAlignment="1">
      <alignment vertical="center" wrapText="1"/>
    </xf>
    <xf numFmtId="0" fontId="19" fillId="19" borderId="38" xfId="0" applyFont="1" applyFill="1" applyBorder="1" applyAlignment="1">
      <alignment vertical="top" wrapText="1"/>
    </xf>
    <xf numFmtId="0" fontId="0" fillId="18" borderId="39" xfId="0" applyFill="1" applyBorder="1" applyAlignment="1">
      <alignment vertical="center"/>
    </xf>
    <xf numFmtId="0" fontId="3" fillId="0" borderId="38" xfId="0" applyFont="1" applyBorder="1" applyAlignment="1">
      <alignment vertical="top"/>
    </xf>
    <xf numFmtId="0" fontId="1" fillId="25" borderId="3" xfId="0" applyFont="1" applyFill="1" applyBorder="1" applyAlignment="1">
      <alignment vertical="center"/>
    </xf>
    <xf numFmtId="0" fontId="1" fillId="17" borderId="3" xfId="0" applyFont="1" applyFill="1" applyBorder="1" applyAlignment="1">
      <alignment vertical="center"/>
    </xf>
    <xf numFmtId="0" fontId="1" fillId="13" borderId="3" xfId="0" applyFont="1" applyFill="1" applyBorder="1" applyAlignment="1">
      <alignment vertical="center"/>
    </xf>
    <xf numFmtId="0" fontId="1" fillId="18" borderId="3" xfId="0" applyFont="1" applyFill="1" applyBorder="1" applyAlignment="1">
      <alignment vertical="center"/>
    </xf>
    <xf numFmtId="0" fontId="1" fillId="26" borderId="3" xfId="0" applyFont="1" applyFill="1" applyBorder="1" applyAlignment="1">
      <alignment vertical="center"/>
    </xf>
    <xf numFmtId="0" fontId="32" fillId="0" borderId="0" xfId="0" applyFont="1" applyAlignment="1">
      <alignment horizontal="left" vertical="top"/>
    </xf>
    <xf numFmtId="0" fontId="33" fillId="0" borderId="44" xfId="0" applyFont="1" applyBorder="1" applyAlignment="1">
      <alignment vertical="top"/>
    </xf>
    <xf numFmtId="0" fontId="5" fillId="0" borderId="45" xfId="0" applyFont="1" applyBorder="1"/>
    <xf numFmtId="0" fontId="33" fillId="0" borderId="44" xfId="0" applyFont="1" applyBorder="1" applyAlignment="1">
      <alignment vertical="top" wrapText="1"/>
    </xf>
    <xf numFmtId="0" fontId="37" fillId="0" borderId="0" xfId="0" applyFont="1" applyAlignment="1">
      <alignment horizontal="left" vertical="top"/>
    </xf>
    <xf numFmtId="0" fontId="15" fillId="0" borderId="0" xfId="0" applyFont="1" applyAlignment="1">
      <alignment horizontal="left" vertical="center"/>
    </xf>
    <xf numFmtId="0" fontId="1" fillId="0" borderId="0" xfId="0" applyFont="1" applyAlignment="1">
      <alignment horizontal="left" vertical="center"/>
    </xf>
    <xf numFmtId="0" fontId="0" fillId="8" borderId="0" xfId="0" applyFill="1" applyAlignment="1">
      <alignment vertical="top"/>
    </xf>
    <xf numFmtId="14" fontId="0" fillId="8" borderId="0" xfId="0" applyNumberFormat="1" applyFill="1" applyAlignment="1">
      <alignment horizontal="left" vertical="top"/>
    </xf>
    <xf numFmtId="0" fontId="0" fillId="8" borderId="0" xfId="0" applyFill="1" applyAlignment="1">
      <alignment horizontal="left" vertical="top"/>
    </xf>
    <xf numFmtId="0" fontId="15" fillId="8" borderId="0" xfId="0" applyFont="1" applyFill="1" applyAlignment="1">
      <alignment vertical="top"/>
    </xf>
    <xf numFmtId="0" fontId="32" fillId="8" borderId="43" xfId="0" applyFont="1" applyFill="1" applyBorder="1" applyAlignment="1">
      <alignment horizontal="center" vertical="center" wrapText="1"/>
    </xf>
    <xf numFmtId="0" fontId="15" fillId="8" borderId="0" xfId="0" applyFont="1" applyFill="1"/>
    <xf numFmtId="0" fontId="16" fillId="0" borderId="14" xfId="0" applyFont="1" applyBorder="1" applyAlignment="1">
      <alignment horizontal="left" vertical="top" wrapText="1"/>
    </xf>
    <xf numFmtId="0" fontId="16" fillId="0" borderId="2" xfId="0" applyFont="1" applyBorder="1" applyAlignment="1">
      <alignment horizontal="left" vertical="top" wrapText="1"/>
    </xf>
    <xf numFmtId="0" fontId="0" fillId="8" borderId="16" xfId="0" applyFill="1" applyBorder="1" applyAlignment="1">
      <alignment vertical="center"/>
    </xf>
    <xf numFmtId="0" fontId="0" fillId="0" borderId="0" xfId="0" applyAlignment="1">
      <alignment horizontal="left" vertical="center" indent="1"/>
    </xf>
    <xf numFmtId="0" fontId="0" fillId="0" borderId="0" xfId="0" applyAlignment="1">
      <alignment horizontal="left" indent="1"/>
    </xf>
    <xf numFmtId="0" fontId="0" fillId="0" borderId="14" xfId="0" applyBorder="1" applyAlignment="1">
      <alignment horizontal="left" indent="1"/>
    </xf>
    <xf numFmtId="0" fontId="1" fillId="0" borderId="3" xfId="0" applyFont="1" applyBorder="1" applyAlignment="1">
      <alignment vertical="center" wrapText="1"/>
    </xf>
    <xf numFmtId="0" fontId="1" fillId="0" borderId="0" xfId="0" applyFont="1" applyAlignment="1">
      <alignment vertical="center" wrapText="1"/>
    </xf>
    <xf numFmtId="0" fontId="0" fillId="0" borderId="0" xfId="0" applyAlignment="1">
      <alignment horizontal="left" vertical="center"/>
    </xf>
    <xf numFmtId="0" fontId="0" fillId="0" borderId="3" xfId="0" applyBorder="1" applyAlignment="1" applyProtection="1">
      <alignment horizontal="left" vertical="center"/>
      <protection locked="0"/>
    </xf>
    <xf numFmtId="0" fontId="1" fillId="19" borderId="5" xfId="0" applyFont="1" applyFill="1" applyBorder="1" applyAlignment="1">
      <alignment vertical="center" wrapText="1"/>
    </xf>
    <xf numFmtId="0" fontId="0" fillId="19" borderId="4" xfId="0" applyFill="1" applyBorder="1" applyAlignment="1">
      <alignment horizontal="left" vertical="center"/>
    </xf>
    <xf numFmtId="0" fontId="40" fillId="0" borderId="0" xfId="0" applyFont="1" applyAlignment="1">
      <alignment vertical="center"/>
    </xf>
    <xf numFmtId="0" fontId="1" fillId="19" borderId="6" xfId="0" applyFont="1" applyFill="1" applyBorder="1" applyAlignment="1" applyProtection="1">
      <alignment horizontal="center" vertical="center"/>
      <protection locked="0"/>
    </xf>
    <xf numFmtId="0" fontId="1" fillId="19" borderId="3" xfId="0" applyFont="1" applyFill="1" applyBorder="1" applyAlignment="1" applyProtection="1">
      <alignment horizontal="center" vertical="center"/>
      <protection locked="0"/>
    </xf>
    <xf numFmtId="0" fontId="31" fillId="0" borderId="0" xfId="0" applyFont="1" applyAlignment="1">
      <alignment vertical="center"/>
    </xf>
    <xf numFmtId="0" fontId="28" fillId="0" borderId="0" xfId="0" applyFont="1" applyAlignment="1">
      <alignment vertical="center"/>
    </xf>
    <xf numFmtId="0" fontId="19" fillId="13" borderId="35" xfId="0" applyFont="1" applyFill="1" applyBorder="1" applyAlignment="1">
      <alignment horizontal="left" vertical="center" indent="1"/>
    </xf>
    <xf numFmtId="0" fontId="19" fillId="9" borderId="35" xfId="0" applyFont="1" applyFill="1" applyBorder="1" applyAlignment="1">
      <alignment horizontal="left" vertical="center" indent="1"/>
    </xf>
    <xf numFmtId="0" fontId="0" fillId="19" borderId="21" xfId="0" applyFill="1" applyBorder="1"/>
    <xf numFmtId="0" fontId="0" fillId="19" borderId="22" xfId="0" applyFill="1" applyBorder="1"/>
    <xf numFmtId="0" fontId="5" fillId="19" borderId="0" xfId="0" applyFont="1" applyFill="1"/>
    <xf numFmtId="0" fontId="1" fillId="0" borderId="17" xfId="0" applyFont="1" applyBorder="1" applyAlignment="1">
      <alignment horizontal="left" vertical="center" wrapText="1"/>
    </xf>
    <xf numFmtId="0" fontId="0" fillId="0" borderId="17" xfId="0" applyBorder="1" applyAlignment="1">
      <alignment horizontal="left" vertical="center" wrapText="1"/>
    </xf>
    <xf numFmtId="0" fontId="0" fillId="0" borderId="17" xfId="0" applyBorder="1" applyAlignment="1">
      <alignment vertical="center"/>
    </xf>
    <xf numFmtId="0" fontId="10" fillId="0" borderId="17" xfId="0" applyFont="1" applyBorder="1"/>
    <xf numFmtId="0" fontId="18" fillId="0" borderId="17" xfId="0" applyFont="1" applyBorder="1" applyAlignment="1">
      <alignment vertical="center"/>
    </xf>
    <xf numFmtId="0" fontId="0" fillId="6" borderId="9" xfId="0" applyFill="1" applyBorder="1"/>
    <xf numFmtId="0" fontId="17" fillId="6" borderId="11" xfId="0" applyFont="1" applyFill="1" applyBorder="1" applyAlignment="1">
      <alignment vertical="center"/>
    </xf>
    <xf numFmtId="0" fontId="0" fillId="6" borderId="11" xfId="0" applyFill="1" applyBorder="1" applyAlignment="1">
      <alignment vertical="center"/>
    </xf>
    <xf numFmtId="0" fontId="7" fillId="6" borderId="11" xfId="0" applyFont="1" applyFill="1" applyBorder="1" applyAlignment="1">
      <alignment horizontal="center" vertical="center"/>
    </xf>
    <xf numFmtId="0" fontId="5" fillId="6" borderId="11" xfId="0" applyFont="1" applyFill="1" applyBorder="1"/>
    <xf numFmtId="0" fontId="0" fillId="6" borderId="11" xfId="0" applyFill="1" applyBorder="1"/>
    <xf numFmtId="0" fontId="0" fillId="6" borderId="18" xfId="0" applyFill="1" applyBorder="1"/>
    <xf numFmtId="0" fontId="0" fillId="19" borderId="19" xfId="0" applyFill="1" applyBorder="1"/>
    <xf numFmtId="0" fontId="0" fillId="19" borderId="10" xfId="0" applyFill="1" applyBorder="1" applyAlignment="1">
      <alignment vertical="top"/>
    </xf>
    <xf numFmtId="0" fontId="0" fillId="19" borderId="10" xfId="0" applyFill="1" applyBorder="1" applyAlignment="1">
      <alignment vertical="top" wrapText="1"/>
    </xf>
    <xf numFmtId="0" fontId="0" fillId="19" borderId="10" xfId="0" applyFill="1" applyBorder="1"/>
    <xf numFmtId="0" fontId="5" fillId="19" borderId="10" xfId="0" applyFont="1" applyFill="1" applyBorder="1"/>
    <xf numFmtId="0" fontId="0" fillId="19" borderId="20" xfId="0" applyFill="1" applyBorder="1"/>
    <xf numFmtId="0" fontId="0" fillId="19" borderId="23" xfId="0" applyFill="1" applyBorder="1"/>
    <xf numFmtId="0" fontId="0" fillId="19" borderId="17" xfId="0" applyFill="1" applyBorder="1" applyAlignment="1">
      <alignment vertical="top"/>
    </xf>
    <xf numFmtId="0" fontId="0" fillId="19" borderId="17" xfId="0" applyFill="1" applyBorder="1" applyAlignment="1">
      <alignment vertical="top" wrapText="1"/>
    </xf>
    <xf numFmtId="0" fontId="0" fillId="19" borderId="17" xfId="0" applyFill="1" applyBorder="1"/>
    <xf numFmtId="0" fontId="5" fillId="19" borderId="17" xfId="0" applyFont="1" applyFill="1" applyBorder="1"/>
    <xf numFmtId="0" fontId="0" fillId="19" borderId="24" xfId="0" applyFill="1" applyBorder="1"/>
    <xf numFmtId="0" fontId="42" fillId="19" borderId="0" xfId="0" applyFont="1" applyFill="1"/>
    <xf numFmtId="0" fontId="5" fillId="19" borderId="0" xfId="0" applyFont="1" applyFill="1" applyAlignment="1">
      <alignment vertical="top" wrapText="1"/>
    </xf>
    <xf numFmtId="0" fontId="43" fillId="0" borderId="0" xfId="0" applyFont="1" applyAlignment="1">
      <alignment vertical="top" wrapText="1"/>
    </xf>
    <xf numFmtId="0" fontId="1" fillId="0" borderId="40" xfId="0" applyFont="1" applyBorder="1" applyAlignment="1">
      <alignment vertical="top"/>
    </xf>
    <xf numFmtId="0" fontId="1" fillId="0" borderId="42" xfId="0" applyFont="1" applyBorder="1" applyAlignment="1">
      <alignment vertical="top"/>
    </xf>
    <xf numFmtId="0" fontId="19" fillId="0" borderId="37" xfId="0" applyFont="1" applyBorder="1" applyAlignment="1">
      <alignment vertical="top"/>
    </xf>
    <xf numFmtId="0" fontId="19" fillId="0" borderId="36" xfId="0" applyFont="1" applyBorder="1" applyAlignment="1">
      <alignment vertical="top" wrapText="1"/>
    </xf>
    <xf numFmtId="164" fontId="19" fillId="0" borderId="35" xfId="0" applyNumberFormat="1" applyFont="1" applyBorder="1"/>
    <xf numFmtId="0" fontId="1" fillId="0" borderId="0" xfId="0" applyFont="1" applyAlignment="1">
      <alignment vertical="center" textRotation="90" wrapText="1"/>
    </xf>
    <xf numFmtId="0" fontId="1" fillId="0" borderId="37" xfId="0" applyFont="1" applyBorder="1" applyAlignment="1">
      <alignment horizontal="left"/>
    </xf>
    <xf numFmtId="0" fontId="1" fillId="0" borderId="51" xfId="0" applyFont="1" applyBorder="1" applyAlignment="1">
      <alignment horizontal="left"/>
    </xf>
    <xf numFmtId="0" fontId="35" fillId="23" borderId="3" xfId="0" applyFont="1" applyFill="1" applyBorder="1" applyAlignment="1">
      <alignment horizontal="center" vertical="center"/>
    </xf>
    <xf numFmtId="0" fontId="19" fillId="24" borderId="37" xfId="0" applyFont="1" applyFill="1" applyBorder="1" applyAlignment="1">
      <alignment vertical="center"/>
    </xf>
    <xf numFmtId="0" fontId="19" fillId="24" borderId="36" xfId="0" applyFont="1" applyFill="1" applyBorder="1" applyAlignment="1">
      <alignment vertical="center" wrapText="1"/>
    </xf>
    <xf numFmtId="0" fontId="19" fillId="9" borderId="35" xfId="0" applyFont="1" applyFill="1" applyBorder="1" applyAlignment="1">
      <alignment vertical="center" wrapText="1"/>
    </xf>
    <xf numFmtId="0" fontId="44" fillId="0" borderId="0" xfId="0" applyFont="1" applyAlignment="1">
      <alignment vertical="center"/>
    </xf>
    <xf numFmtId="0" fontId="0" fillId="0" borderId="19" xfId="0" applyBorder="1"/>
    <xf numFmtId="0" fontId="31" fillId="0" borderId="10" xfId="0" applyFont="1" applyBorder="1" applyAlignment="1">
      <alignment vertical="center"/>
    </xf>
    <xf numFmtId="0" fontId="0" fillId="0" borderId="10" xfId="0" applyBorder="1" applyAlignment="1">
      <alignment vertical="top" wrapText="1"/>
    </xf>
    <xf numFmtId="0" fontId="0" fillId="0" borderId="10" xfId="0" applyBorder="1"/>
    <xf numFmtId="0" fontId="5" fillId="0" borderId="10" xfId="0" applyFont="1" applyBorder="1"/>
    <xf numFmtId="0" fontId="0" fillId="0" borderId="20" xfId="0" applyBorder="1"/>
    <xf numFmtId="0" fontId="13" fillId="0" borderId="0" xfId="0" applyFont="1" applyAlignment="1">
      <alignment vertical="center"/>
    </xf>
    <xf numFmtId="0" fontId="45" fillId="0" borderId="0" xfId="0" applyFont="1" applyAlignment="1">
      <alignment horizontal="left" indent="1"/>
    </xf>
    <xf numFmtId="0" fontId="10" fillId="0" borderId="0" xfId="0" applyFont="1" applyAlignment="1">
      <alignment vertical="top" wrapText="1"/>
    </xf>
    <xf numFmtId="0" fontId="34" fillId="0" borderId="53" xfId="0" applyFont="1" applyBorder="1"/>
    <xf numFmtId="0" fontId="26" fillId="0" borderId="54" xfId="0" applyFont="1" applyBorder="1"/>
    <xf numFmtId="0" fontId="26" fillId="0" borderId="55" xfId="0" applyFont="1" applyBorder="1"/>
    <xf numFmtId="0" fontId="1" fillId="0" borderId="3" xfId="0" applyFont="1" applyBorder="1" applyAlignment="1" applyProtection="1">
      <alignment horizontal="left" vertical="center" wrapText="1"/>
      <protection locked="0"/>
    </xf>
    <xf numFmtId="0" fontId="1" fillId="8" borderId="60" xfId="0" applyFont="1" applyFill="1" applyBorder="1" applyAlignment="1">
      <alignment horizontal="left" vertical="top" wrapText="1"/>
    </xf>
    <xf numFmtId="0" fontId="16" fillId="0" borderId="61" xfId="0" applyFont="1" applyBorder="1" applyAlignment="1">
      <alignment horizontal="left" vertical="top" wrapText="1"/>
    </xf>
    <xf numFmtId="0" fontId="33" fillId="0" borderId="62" xfId="0" applyFont="1" applyBorder="1" applyAlignment="1">
      <alignment vertical="top"/>
    </xf>
    <xf numFmtId="0" fontId="5" fillId="0" borderId="63" xfId="0" applyFont="1" applyBorder="1"/>
    <xf numFmtId="0" fontId="26" fillId="0" borderId="63" xfId="0" applyFont="1" applyBorder="1"/>
    <xf numFmtId="0" fontId="33" fillId="0" borderId="62" xfId="0" applyFont="1" applyBorder="1" applyAlignment="1">
      <alignment horizontal="left" vertical="top"/>
    </xf>
    <xf numFmtId="0" fontId="5" fillId="0" borderId="63" xfId="0" applyFont="1" applyBorder="1" applyAlignment="1">
      <alignment horizontal="left"/>
    </xf>
    <xf numFmtId="0" fontId="33" fillId="0" borderId="62" xfId="0" applyFont="1" applyBorder="1" applyAlignment="1">
      <alignment vertical="top" wrapText="1"/>
    </xf>
    <xf numFmtId="0" fontId="5" fillId="0" borderId="63" xfId="0" applyFont="1" applyBorder="1" applyAlignment="1">
      <alignment wrapText="1"/>
    </xf>
    <xf numFmtId="0" fontId="0" fillId="0" borderId="0" xfId="0" applyAlignment="1">
      <alignment horizontal="left" vertical="center" wrapText="1" indent="1"/>
    </xf>
    <xf numFmtId="0" fontId="0" fillId="0" borderId="14" xfId="0" applyBorder="1" applyAlignment="1">
      <alignment horizontal="left" vertical="center" wrapText="1" indent="1"/>
    </xf>
    <xf numFmtId="0" fontId="35" fillId="23" borderId="0" xfId="0" applyFont="1" applyFill="1" applyAlignment="1">
      <alignment horizontal="center" vertical="center"/>
    </xf>
    <xf numFmtId="0" fontId="1" fillId="8" borderId="16" xfId="0" applyFont="1" applyFill="1" applyBorder="1" applyAlignment="1">
      <alignment vertical="center"/>
    </xf>
    <xf numFmtId="165" fontId="1" fillId="0" borderId="0" xfId="0" applyNumberFormat="1" applyFont="1" applyAlignment="1">
      <alignment vertical="top" wrapText="1"/>
    </xf>
    <xf numFmtId="165" fontId="1" fillId="0" borderId="0" xfId="0" applyNumberFormat="1" applyFont="1" applyAlignment="1" applyProtection="1">
      <alignment vertical="top" wrapText="1"/>
      <protection locked="0"/>
    </xf>
    <xf numFmtId="165" fontId="19" fillId="9" borderId="0" xfId="0" applyNumberFormat="1" applyFont="1" applyFill="1"/>
    <xf numFmtId="165" fontId="0" fillId="0" borderId="0" xfId="0" applyNumberFormat="1" applyAlignment="1" applyProtection="1">
      <alignment vertical="top" wrapText="1"/>
      <protection locked="0"/>
    </xf>
    <xf numFmtId="3" fontId="0" fillId="0" borderId="0" xfId="0" applyNumberFormat="1" applyAlignment="1" applyProtection="1">
      <alignment vertical="top" wrapText="1"/>
      <protection locked="0"/>
    </xf>
    <xf numFmtId="165" fontId="1" fillId="0" borderId="0" xfId="0" applyNumberFormat="1" applyFont="1" applyAlignment="1">
      <alignment vertical="top"/>
    </xf>
    <xf numFmtId="165" fontId="1" fillId="0" borderId="0" xfId="0" applyNumberFormat="1" applyFont="1" applyAlignment="1" applyProtection="1">
      <alignment vertical="top"/>
      <protection locked="0"/>
    </xf>
    <xf numFmtId="165" fontId="1" fillId="9" borderId="0" xfId="0" applyNumberFormat="1" applyFont="1" applyFill="1"/>
    <xf numFmtId="3" fontId="1" fillId="0" borderId="0" xfId="0" applyNumberFormat="1" applyFont="1"/>
    <xf numFmtId="165" fontId="5" fillId="13" borderId="35" xfId="0" applyNumberFormat="1" applyFont="1" applyFill="1" applyBorder="1" applyAlignment="1">
      <alignment vertical="center"/>
    </xf>
    <xf numFmtId="165" fontId="19" fillId="9" borderId="35" xfId="0" applyNumberFormat="1" applyFont="1" applyFill="1" applyBorder="1" applyAlignment="1">
      <alignment vertical="center"/>
    </xf>
    <xf numFmtId="165" fontId="0" fillId="13" borderId="35" xfId="0" applyNumberFormat="1" applyFill="1" applyBorder="1" applyAlignment="1">
      <alignment vertical="center"/>
    </xf>
    <xf numFmtId="165" fontId="1" fillId="13" borderId="35" xfId="0" applyNumberFormat="1" applyFont="1" applyFill="1" applyBorder="1" applyAlignment="1">
      <alignment vertical="center"/>
    </xf>
    <xf numFmtId="165" fontId="0" fillId="19" borderId="35" xfId="0" applyNumberFormat="1" applyFill="1" applyBorder="1" applyAlignment="1">
      <alignment vertical="top"/>
    </xf>
    <xf numFmtId="165" fontId="19" fillId="24" borderId="35" xfId="0" applyNumberFormat="1" applyFont="1" applyFill="1" applyBorder="1" applyAlignment="1">
      <alignment vertical="center"/>
    </xf>
    <xf numFmtId="0" fontId="44" fillId="0" borderId="0" xfId="0" applyFont="1" applyAlignment="1">
      <alignment horizontal="left" vertical="top" wrapText="1" indent="1"/>
    </xf>
    <xf numFmtId="0" fontId="0" fillId="0" borderId="66" xfId="0" applyBorder="1"/>
    <xf numFmtId="0" fontId="8" fillId="2" borderId="65" xfId="0" applyFont="1" applyFill="1" applyBorder="1" applyAlignment="1">
      <alignment vertical="top" wrapText="1"/>
    </xf>
    <xf numFmtId="0" fontId="8" fillId="9" borderId="65" xfId="0" applyFont="1" applyFill="1" applyBorder="1" applyAlignment="1">
      <alignment vertical="top" wrapText="1"/>
    </xf>
    <xf numFmtId="0" fontId="8" fillId="27" borderId="65" xfId="0" applyFont="1" applyFill="1" applyBorder="1" applyAlignment="1">
      <alignment vertical="top" wrapText="1"/>
    </xf>
    <xf numFmtId="0" fontId="8" fillId="7" borderId="0" xfId="0" applyFont="1" applyFill="1" applyAlignment="1">
      <alignment vertical="top" wrapText="1"/>
    </xf>
    <xf numFmtId="0" fontId="8" fillId="7" borderId="65" xfId="0" applyFont="1" applyFill="1" applyBorder="1" applyAlignment="1">
      <alignment vertical="top" wrapText="1"/>
    </xf>
    <xf numFmtId="0" fontId="8" fillId="35" borderId="65" xfId="0" applyFont="1" applyFill="1" applyBorder="1" applyAlignment="1">
      <alignment vertical="top" wrapText="1"/>
    </xf>
    <xf numFmtId="49" fontId="0" fillId="0" borderId="0" xfId="0" applyNumberFormat="1"/>
    <xf numFmtId="0" fontId="47" fillId="0" borderId="0" xfId="0" applyFont="1"/>
    <xf numFmtId="0" fontId="48" fillId="36" borderId="3" xfId="0" applyFont="1" applyFill="1" applyBorder="1" applyAlignment="1">
      <alignment vertical="top"/>
    </xf>
    <xf numFmtId="0" fontId="8" fillId="37" borderId="3" xfId="0" applyFont="1" applyFill="1" applyBorder="1" applyAlignment="1">
      <alignment vertical="top"/>
    </xf>
    <xf numFmtId="0" fontId="0" fillId="8" borderId="14" xfId="0" applyFill="1" applyBorder="1" applyAlignment="1">
      <alignment horizontal="left" vertical="top" wrapText="1"/>
    </xf>
    <xf numFmtId="0" fontId="0" fillId="8" borderId="16" xfId="0" applyFill="1" applyBorder="1" applyAlignment="1">
      <alignment vertical="top" wrapText="1"/>
    </xf>
    <xf numFmtId="0" fontId="0" fillId="8" borderId="0" xfId="0" applyFill="1" applyAlignment="1">
      <alignment vertical="top" wrapText="1"/>
    </xf>
    <xf numFmtId="14" fontId="0" fillId="8" borderId="0" xfId="0" applyNumberFormat="1" applyFill="1" applyAlignment="1">
      <alignment horizontal="left" vertical="top" wrapText="1"/>
    </xf>
    <xf numFmtId="165" fontId="0" fillId="0" borderId="35" xfId="0" applyNumberFormat="1" applyBorder="1" applyAlignment="1">
      <alignment vertical="top"/>
    </xf>
    <xf numFmtId="0" fontId="1" fillId="0" borderId="35" xfId="0" applyFont="1" applyBorder="1" applyAlignment="1">
      <alignment vertical="top"/>
    </xf>
    <xf numFmtId="0" fontId="1" fillId="19" borderId="41" xfId="0" applyFont="1" applyFill="1" applyBorder="1" applyAlignment="1">
      <alignment vertical="top" wrapText="1"/>
    </xf>
    <xf numFmtId="165" fontId="1" fillId="19" borderId="41" xfId="0" applyNumberFormat="1" applyFont="1" applyFill="1" applyBorder="1" applyAlignment="1">
      <alignment vertical="top" wrapText="1"/>
    </xf>
    <xf numFmtId="0" fontId="1" fillId="19" borderId="35" xfId="0" applyFont="1" applyFill="1" applyBorder="1" applyAlignment="1">
      <alignment vertical="top" wrapText="1"/>
    </xf>
    <xf numFmtId="165" fontId="1" fillId="19" borderId="35" xfId="0" applyNumberFormat="1" applyFont="1" applyFill="1" applyBorder="1" applyAlignment="1">
      <alignment vertical="top" wrapText="1"/>
    </xf>
    <xf numFmtId="0" fontId="0" fillId="38" borderId="35" xfId="0" applyFill="1" applyBorder="1" applyAlignment="1">
      <alignment horizontal="left" vertical="top" indent="1"/>
    </xf>
    <xf numFmtId="0" fontId="0" fillId="38" borderId="35" xfId="0" applyFill="1" applyBorder="1" applyAlignment="1">
      <alignment horizontal="left" vertical="top" wrapText="1" indent="1"/>
    </xf>
    <xf numFmtId="9" fontId="0" fillId="0" borderId="35" xfId="3" applyFont="1" applyFill="1" applyBorder="1" applyAlignment="1">
      <alignment vertical="top"/>
    </xf>
    <xf numFmtId="165" fontId="19" fillId="24" borderId="41" xfId="0" applyNumberFormat="1" applyFont="1" applyFill="1" applyBorder="1" applyAlignment="1">
      <alignment vertical="center"/>
    </xf>
    <xf numFmtId="0" fontId="1" fillId="24" borderId="25" xfId="0" applyFont="1" applyFill="1" applyBorder="1" applyAlignment="1">
      <alignment vertical="top"/>
    </xf>
    <xf numFmtId="0" fontId="1" fillId="24" borderId="35" xfId="0" applyFont="1" applyFill="1" applyBorder="1" applyAlignment="1">
      <alignment vertical="top"/>
    </xf>
    <xf numFmtId="0" fontId="19" fillId="19" borderId="25" xfId="0" applyFont="1" applyFill="1" applyBorder="1" applyAlignment="1">
      <alignment vertical="top"/>
    </xf>
    <xf numFmtId="0" fontId="19" fillId="19" borderId="25" xfId="0" applyFont="1" applyFill="1" applyBorder="1" applyAlignment="1">
      <alignment vertical="top" wrapText="1"/>
    </xf>
    <xf numFmtId="0" fontId="0" fillId="38" borderId="25" xfId="0" applyFill="1" applyBorder="1" applyAlignment="1">
      <alignment horizontal="left" vertical="top" indent="1"/>
    </xf>
    <xf numFmtId="0" fontId="0" fillId="38" borderId="37" xfId="0" applyFill="1" applyBorder="1" applyAlignment="1">
      <alignment horizontal="left" vertical="top" indent="1"/>
    </xf>
    <xf numFmtId="3" fontId="0" fillId="0" borderId="0" xfId="0" applyNumberFormat="1"/>
    <xf numFmtId="165" fontId="19" fillId="19" borderId="25" xfId="0" applyNumberFormat="1" applyFont="1" applyFill="1" applyBorder="1" applyAlignment="1">
      <alignment vertical="top" wrapText="1"/>
    </xf>
    <xf numFmtId="0" fontId="8" fillId="0" borderId="0" xfId="0" applyFont="1"/>
    <xf numFmtId="164" fontId="10" fillId="0" borderId="0" xfId="0" applyNumberFormat="1" applyFont="1" applyAlignment="1">
      <alignment vertical="center"/>
    </xf>
    <xf numFmtId="0" fontId="10" fillId="0" borderId="10" xfId="0" applyFont="1" applyBorder="1"/>
    <xf numFmtId="0" fontId="0" fillId="0" borderId="67" xfId="0" applyBorder="1"/>
    <xf numFmtId="0" fontId="0" fillId="0" borderId="59" xfId="0" applyBorder="1" applyAlignment="1">
      <alignment wrapText="1"/>
    </xf>
    <xf numFmtId="0" fontId="0" fillId="0" borderId="59" xfId="0" applyBorder="1"/>
    <xf numFmtId="0" fontId="5" fillId="0" borderId="59" xfId="0" applyFont="1" applyBorder="1"/>
    <xf numFmtId="0" fontId="0" fillId="0" borderId="68" xfId="0" applyBorder="1"/>
    <xf numFmtId="0" fontId="19" fillId="19" borderId="69" xfId="0" applyFont="1" applyFill="1" applyBorder="1" applyAlignment="1">
      <alignment vertical="center" wrapText="1"/>
    </xf>
    <xf numFmtId="166" fontId="0" fillId="38" borderId="25" xfId="3" applyNumberFormat="1" applyFont="1" applyFill="1" applyBorder="1" applyAlignment="1">
      <alignment vertical="top"/>
    </xf>
    <xf numFmtId="166" fontId="0" fillId="38" borderId="35" xfId="3" applyNumberFormat="1" applyFont="1" applyFill="1" applyBorder="1" applyAlignment="1">
      <alignment vertical="top"/>
    </xf>
    <xf numFmtId="165" fontId="5" fillId="38" borderId="25" xfId="0" applyNumberFormat="1" applyFont="1" applyFill="1" applyBorder="1" applyAlignment="1">
      <alignment vertical="center"/>
    </xf>
    <xf numFmtId="165" fontId="5" fillId="38" borderId="37" xfId="0" applyNumberFormat="1" applyFont="1" applyFill="1" applyBorder="1" applyAlignment="1">
      <alignment vertical="center"/>
    </xf>
    <xf numFmtId="165" fontId="5" fillId="38" borderId="35" xfId="0" applyNumberFormat="1" applyFont="1" applyFill="1" applyBorder="1" applyAlignment="1">
      <alignment vertical="center"/>
    </xf>
    <xf numFmtId="0" fontId="3" fillId="19" borderId="35" xfId="0" applyFont="1" applyFill="1" applyBorder="1" applyAlignment="1">
      <alignment horizontal="left" vertical="top"/>
    </xf>
    <xf numFmtId="0" fontId="3" fillId="19" borderId="35" xfId="0" applyFont="1" applyFill="1" applyBorder="1" applyAlignment="1">
      <alignment vertical="top"/>
    </xf>
    <xf numFmtId="0" fontId="52" fillId="0" borderId="0" xfId="0" applyFont="1"/>
    <xf numFmtId="0" fontId="52" fillId="0" borderId="0" xfId="0" applyFont="1" applyAlignment="1">
      <alignment vertical="center"/>
    </xf>
    <xf numFmtId="0" fontId="1" fillId="24" borderId="3" xfId="0" applyFont="1" applyFill="1" applyBorder="1" applyAlignment="1">
      <alignment vertical="center"/>
    </xf>
    <xf numFmtId="0" fontId="39" fillId="19" borderId="60" xfId="0" applyFont="1" applyFill="1" applyBorder="1" applyAlignment="1">
      <alignment horizontal="left" vertical="center"/>
    </xf>
    <xf numFmtId="0" fontId="39" fillId="19" borderId="59" xfId="0" applyFont="1" applyFill="1" applyBorder="1" applyAlignment="1">
      <alignment horizontal="left" vertical="center"/>
    </xf>
    <xf numFmtId="0" fontId="39" fillId="19" borderId="61" xfId="0" applyFont="1" applyFill="1" applyBorder="1" applyAlignment="1">
      <alignment horizontal="left" vertical="center"/>
    </xf>
    <xf numFmtId="0" fontId="16" fillId="0" borderId="0" xfId="0" applyFont="1"/>
    <xf numFmtId="0" fontId="61" fillId="0" borderId="0" xfId="0" applyFont="1" applyAlignment="1">
      <alignment vertical="top"/>
    </xf>
    <xf numFmtId="0" fontId="45" fillId="0" borderId="0" xfId="0" applyFont="1" applyAlignment="1" applyProtection="1">
      <alignment horizontal="left" indent="1"/>
      <protection locked="0"/>
    </xf>
    <xf numFmtId="0" fontId="10" fillId="0" borderId="0" xfId="0" applyFont="1" applyAlignment="1" applyProtection="1">
      <alignment vertical="center"/>
      <protection locked="0"/>
    </xf>
    <xf numFmtId="0" fontId="54" fillId="0" borderId="0" xfId="0" applyFont="1" applyAlignment="1">
      <alignment horizontal="left" vertical="top" wrapText="1"/>
    </xf>
    <xf numFmtId="0" fontId="60" fillId="0" borderId="0" xfId="0" applyFont="1" applyAlignment="1">
      <alignment horizontal="center" vertical="center"/>
    </xf>
    <xf numFmtId="0" fontId="58" fillId="0" borderId="0" xfId="0" applyFont="1" applyAlignment="1">
      <alignment horizontal="left"/>
    </xf>
    <xf numFmtId="0" fontId="59" fillId="0" borderId="0" xfId="0" applyFont="1" applyAlignment="1">
      <alignment horizontal="center" vertical="center"/>
    </xf>
    <xf numFmtId="0" fontId="64" fillId="0" borderId="0" xfId="0" applyFont="1" applyAlignment="1">
      <alignment horizontal="left"/>
    </xf>
    <xf numFmtId="0" fontId="58" fillId="0" borderId="0" xfId="0" applyFont="1"/>
    <xf numFmtId="0" fontId="52" fillId="0" borderId="0" xfId="0" applyFont="1" applyAlignment="1">
      <alignment horizontal="left"/>
    </xf>
    <xf numFmtId="0" fontId="57" fillId="0" borderId="0" xfId="0" applyFont="1" applyAlignment="1">
      <alignment horizontal="left"/>
    </xf>
    <xf numFmtId="0" fontId="63" fillId="0" borderId="0" xfId="0" applyFont="1" applyAlignment="1">
      <alignment horizontal="left"/>
    </xf>
    <xf numFmtId="0" fontId="55" fillId="0" borderId="0" xfId="0" applyFont="1" applyAlignment="1">
      <alignment horizontal="left"/>
    </xf>
    <xf numFmtId="0" fontId="65" fillId="0" borderId="0" xfId="0" applyFont="1" applyAlignment="1">
      <alignment horizontal="center"/>
    </xf>
    <xf numFmtId="0" fontId="55" fillId="0" borderId="0" xfId="0" applyFont="1"/>
    <xf numFmtId="0" fontId="65" fillId="0" borderId="0" xfId="0" applyFont="1"/>
    <xf numFmtId="0" fontId="66" fillId="0" borderId="0" xfId="0" applyFont="1" applyAlignment="1">
      <alignment vertical="center" wrapText="1"/>
    </xf>
    <xf numFmtId="0" fontId="8" fillId="35" borderId="31" xfId="0" applyFont="1" applyFill="1" applyBorder="1" applyAlignment="1">
      <alignment vertical="top"/>
    </xf>
    <xf numFmtId="0" fontId="0" fillId="40" borderId="36" xfId="0" applyFill="1" applyBorder="1"/>
    <xf numFmtId="0" fontId="0" fillId="39" borderId="36" xfId="0" applyFill="1" applyBorder="1"/>
    <xf numFmtId="0" fontId="8" fillId="35" borderId="65" xfId="0" applyFont="1" applyFill="1" applyBorder="1" applyAlignment="1">
      <alignment vertical="top"/>
    </xf>
    <xf numFmtId="0" fontId="0" fillId="40" borderId="35" xfId="0" applyFill="1" applyBorder="1"/>
    <xf numFmtId="0" fontId="0" fillId="39" borderId="35" xfId="0" applyFill="1" applyBorder="1"/>
    <xf numFmtId="10" fontId="9" fillId="40" borderId="37" xfId="0" applyNumberFormat="1" applyFont="1" applyFill="1" applyBorder="1"/>
    <xf numFmtId="10" fontId="9" fillId="39" borderId="37" xfId="0" applyNumberFormat="1" applyFont="1" applyFill="1" applyBorder="1"/>
    <xf numFmtId="0" fontId="0" fillId="39" borderId="52" xfId="0" applyFill="1" applyBorder="1"/>
    <xf numFmtId="0" fontId="0" fillId="39" borderId="41" xfId="0" applyFill="1" applyBorder="1"/>
    <xf numFmtId="0" fontId="0" fillId="28" borderId="0" xfId="0" applyFill="1" applyAlignment="1">
      <alignment horizontal="right"/>
    </xf>
    <xf numFmtId="10" fontId="0" fillId="28" borderId="0" xfId="0" applyNumberFormat="1" applyFill="1" applyAlignment="1">
      <alignment horizontal="right"/>
    </xf>
    <xf numFmtId="0" fontId="0" fillId="24" borderId="0" xfId="0" applyFill="1" applyAlignment="1">
      <alignment horizontal="right"/>
    </xf>
    <xf numFmtId="10" fontId="0" fillId="24" borderId="0" xfId="0" applyNumberFormat="1" applyFill="1" applyAlignment="1">
      <alignment horizontal="right"/>
    </xf>
    <xf numFmtId="0" fontId="0" fillId="29" borderId="0" xfId="0" applyFill="1" applyAlignment="1">
      <alignment horizontal="right"/>
    </xf>
    <xf numFmtId="10" fontId="0" fillId="29" borderId="0" xfId="0" applyNumberFormat="1" applyFill="1" applyAlignment="1">
      <alignment horizontal="right"/>
    </xf>
    <xf numFmtId="0" fontId="0" fillId="30" borderId="0" xfId="0" applyFill="1" applyAlignment="1">
      <alignment horizontal="right"/>
    </xf>
    <xf numFmtId="10" fontId="0" fillId="30" borderId="0" xfId="0" applyNumberFormat="1" applyFill="1" applyAlignment="1">
      <alignment horizontal="right"/>
    </xf>
    <xf numFmtId="0" fontId="0" fillId="31" borderId="0" xfId="0" applyFill="1" applyAlignment="1">
      <alignment horizontal="right"/>
    </xf>
    <xf numFmtId="10" fontId="0" fillId="31" borderId="0" xfId="0" applyNumberFormat="1" applyFill="1" applyAlignment="1">
      <alignment horizontal="right"/>
    </xf>
    <xf numFmtId="0" fontId="0" fillId="32" borderId="0" xfId="0" applyFill="1" applyAlignment="1">
      <alignment horizontal="right"/>
    </xf>
    <xf numFmtId="10" fontId="0" fillId="32" borderId="0" xfId="0" applyNumberFormat="1" applyFill="1" applyAlignment="1">
      <alignment horizontal="right"/>
    </xf>
    <xf numFmtId="0" fontId="0" fillId="33" borderId="0" xfId="0" applyFill="1" applyAlignment="1">
      <alignment horizontal="right"/>
    </xf>
    <xf numFmtId="10" fontId="0" fillId="33" borderId="0" xfId="0" applyNumberFormat="1" applyFill="1" applyAlignment="1">
      <alignment horizontal="right"/>
    </xf>
    <xf numFmtId="0" fontId="0" fillId="34" borderId="0" xfId="0" applyFill="1" applyAlignment="1">
      <alignment horizontal="right"/>
    </xf>
    <xf numFmtId="10" fontId="0" fillId="34" borderId="0" xfId="0" applyNumberFormat="1" applyFill="1" applyAlignment="1">
      <alignment horizontal="right"/>
    </xf>
    <xf numFmtId="0" fontId="0" fillId="31" borderId="0" xfId="0" applyFill="1" applyAlignment="1">
      <alignment horizontal="right" vertical="top"/>
    </xf>
    <xf numFmtId="10" fontId="0" fillId="31" borderId="0" xfId="0" applyNumberFormat="1" applyFill="1" applyAlignment="1">
      <alignment horizontal="right" vertical="top"/>
    </xf>
    <xf numFmtId="0" fontId="0" fillId="32" borderId="0" xfId="0" applyFill="1" applyAlignment="1">
      <alignment horizontal="right" vertical="top"/>
    </xf>
    <xf numFmtId="10" fontId="0" fillId="32" borderId="0" xfId="0" applyNumberFormat="1" applyFill="1" applyAlignment="1">
      <alignment horizontal="right" vertical="top"/>
    </xf>
    <xf numFmtId="0" fontId="0" fillId="33" borderId="0" xfId="0" applyFill="1" applyAlignment="1">
      <alignment horizontal="right" vertical="top"/>
    </xf>
    <xf numFmtId="10" fontId="0" fillId="33" borderId="0" xfId="0" applyNumberFormat="1" applyFill="1" applyAlignment="1">
      <alignment horizontal="right" vertical="top"/>
    </xf>
    <xf numFmtId="0" fontId="0" fillId="34" borderId="0" xfId="0" applyFill="1" applyAlignment="1">
      <alignment horizontal="right" vertical="top"/>
    </xf>
    <xf numFmtId="10" fontId="0" fillId="34" borderId="0" xfId="0" applyNumberFormat="1" applyFill="1" applyAlignment="1">
      <alignment horizontal="right" vertical="top"/>
    </xf>
    <xf numFmtId="0" fontId="71" fillId="8" borderId="0" xfId="0" applyFont="1" applyFill="1" applyAlignment="1">
      <alignment vertical="top" wrapText="1"/>
    </xf>
    <xf numFmtId="0" fontId="10" fillId="23" borderId="0" xfId="0" applyFont="1" applyFill="1" applyAlignment="1">
      <alignment vertical="top"/>
    </xf>
    <xf numFmtId="0" fontId="10" fillId="23" borderId="0" xfId="0" applyFont="1" applyFill="1" applyAlignment="1" applyProtection="1">
      <alignment vertical="top"/>
      <protection locked="0"/>
    </xf>
    <xf numFmtId="0" fontId="8" fillId="23" borderId="0" xfId="0" applyFont="1" applyFill="1"/>
    <xf numFmtId="0" fontId="1" fillId="0" borderId="0" xfId="0" applyFont="1" applyAlignment="1">
      <alignment vertical="top"/>
    </xf>
    <xf numFmtId="0" fontId="44" fillId="0" borderId="0" xfId="0" applyFont="1" applyAlignment="1">
      <alignment vertical="top"/>
    </xf>
    <xf numFmtId="0" fontId="0" fillId="0" borderId="21" xfId="0" applyBorder="1" applyAlignment="1">
      <alignment wrapText="1"/>
    </xf>
    <xf numFmtId="0" fontId="5" fillId="0" borderId="0" xfId="0" applyFont="1" applyAlignment="1">
      <alignment wrapText="1"/>
    </xf>
    <xf numFmtId="0" fontId="0" fillId="0" borderId="22" xfId="0" applyBorder="1" applyAlignment="1">
      <alignment wrapText="1"/>
    </xf>
    <xf numFmtId="0" fontId="19" fillId="19" borderId="26" xfId="0" applyFont="1" applyFill="1" applyBorder="1" applyAlignment="1">
      <alignment vertical="top" wrapText="1"/>
    </xf>
    <xf numFmtId="0" fontId="1" fillId="38" borderId="25" xfId="0" applyFont="1" applyFill="1" applyBorder="1" applyAlignment="1">
      <alignment horizontal="left" vertical="top" indent="1"/>
    </xf>
    <xf numFmtId="0" fontId="1" fillId="38" borderId="37" xfId="0" applyFont="1" applyFill="1" applyBorder="1" applyAlignment="1">
      <alignment horizontal="left" vertical="top" indent="1"/>
    </xf>
    <xf numFmtId="0" fontId="1" fillId="0" borderId="35" xfId="0" applyFont="1" applyBorder="1" applyAlignment="1">
      <alignment vertical="center"/>
    </xf>
    <xf numFmtId="0" fontId="19" fillId="19" borderId="35" xfId="0" applyFont="1" applyFill="1" applyBorder="1" applyAlignment="1">
      <alignment vertical="center"/>
    </xf>
    <xf numFmtId="0" fontId="19" fillId="19" borderId="35" xfId="0" applyFont="1" applyFill="1" applyBorder="1" applyAlignment="1">
      <alignment vertical="center" wrapText="1"/>
    </xf>
    <xf numFmtId="165" fontId="19" fillId="19" borderId="35" xfId="0" applyNumberFormat="1" applyFont="1" applyFill="1" applyBorder="1" applyAlignment="1">
      <alignment vertical="center"/>
    </xf>
    <xf numFmtId="0" fontId="73" fillId="19" borderId="70" xfId="0" applyFont="1" applyFill="1" applyBorder="1" applyAlignment="1">
      <alignment horizontal="center" vertical="center"/>
    </xf>
    <xf numFmtId="0" fontId="0" fillId="6" borderId="10" xfId="0" applyFill="1" applyBorder="1"/>
    <xf numFmtId="0" fontId="0" fillId="6" borderId="17" xfId="0" applyFill="1" applyBorder="1"/>
    <xf numFmtId="0" fontId="0" fillId="6" borderId="0" xfId="0" applyFill="1" applyAlignment="1">
      <alignment vertical="center"/>
    </xf>
    <xf numFmtId="0" fontId="0" fillId="6" borderId="0" xfId="0" applyFill="1" applyAlignment="1">
      <alignment wrapText="1"/>
    </xf>
    <xf numFmtId="0" fontId="0" fillId="6" borderId="59" xfId="0" applyFill="1" applyBorder="1"/>
    <xf numFmtId="0" fontId="73" fillId="19" borderId="73" xfId="0" applyFont="1" applyFill="1" applyBorder="1" applyAlignment="1">
      <alignment horizontal="center" vertical="center"/>
    </xf>
    <xf numFmtId="0" fontId="72" fillId="25" borderId="72" xfId="0" applyFont="1" applyFill="1" applyBorder="1" applyAlignment="1">
      <alignment horizontal="center" vertical="center" wrapText="1"/>
    </xf>
    <xf numFmtId="0" fontId="72" fillId="25" borderId="71" xfId="0" applyFont="1" applyFill="1" applyBorder="1" applyAlignment="1">
      <alignment horizontal="center" vertical="center" wrapText="1"/>
    </xf>
    <xf numFmtId="0" fontId="19" fillId="27" borderId="0" xfId="0" applyFont="1" applyFill="1" applyAlignment="1">
      <alignment vertical="top" wrapText="1"/>
    </xf>
    <xf numFmtId="0" fontId="19" fillId="32" borderId="0" xfId="0" applyFont="1" applyFill="1" applyAlignment="1">
      <alignment vertical="top" wrapText="1"/>
    </xf>
    <xf numFmtId="0" fontId="19" fillId="24" borderId="0" xfId="0" applyFont="1" applyFill="1" applyAlignment="1">
      <alignment vertical="top" wrapText="1"/>
    </xf>
    <xf numFmtId="0" fontId="19" fillId="41" borderId="0" xfId="0" applyFont="1" applyFill="1" applyAlignment="1">
      <alignment vertical="top" wrapText="1"/>
    </xf>
    <xf numFmtId="0" fontId="19" fillId="26" borderId="0" xfId="0" applyFont="1" applyFill="1" applyAlignment="1">
      <alignment vertical="top" wrapText="1"/>
    </xf>
    <xf numFmtId="0" fontId="1" fillId="7" borderId="0" xfId="0" applyFont="1" applyFill="1" applyAlignment="1">
      <alignment vertical="top" wrapText="1"/>
    </xf>
    <xf numFmtId="0" fontId="70" fillId="2" borderId="0" xfId="0" applyFont="1" applyFill="1" applyAlignment="1">
      <alignment vertical="top" wrapText="1"/>
    </xf>
    <xf numFmtId="0" fontId="1" fillId="31" borderId="0" xfId="0" applyFont="1" applyFill="1" applyAlignment="1">
      <alignment vertical="top" wrapText="1"/>
    </xf>
    <xf numFmtId="0" fontId="1" fillId="34" borderId="0" xfId="0" applyFont="1" applyFill="1" applyAlignment="1">
      <alignment vertical="top" wrapText="1"/>
    </xf>
    <xf numFmtId="0" fontId="1" fillId="42" borderId="0" xfId="0" applyFont="1" applyFill="1" applyAlignment="1">
      <alignment vertical="top" wrapText="1"/>
    </xf>
    <xf numFmtId="0" fontId="1" fillId="43" borderId="0" xfId="0" applyFont="1" applyFill="1" applyAlignment="1">
      <alignment vertical="top" wrapText="1"/>
    </xf>
    <xf numFmtId="0" fontId="19" fillId="27" borderId="65" xfId="0" applyFont="1" applyFill="1" applyBorder="1" applyAlignment="1">
      <alignment vertical="top" wrapText="1"/>
    </xf>
    <xf numFmtId="0" fontId="19" fillId="0" borderId="65" xfId="0" applyFont="1" applyBorder="1" applyAlignment="1">
      <alignment vertical="top" wrapText="1"/>
    </xf>
    <xf numFmtId="0" fontId="19" fillId="0" borderId="0" xfId="0" applyFont="1" applyAlignment="1">
      <alignment vertical="top"/>
    </xf>
    <xf numFmtId="0" fontId="19" fillId="0" borderId="0" xfId="0" applyFont="1" applyAlignment="1">
      <alignment horizontal="center" vertical="top"/>
    </xf>
    <xf numFmtId="0" fontId="41" fillId="0" borderId="0" xfId="0" applyFont="1"/>
    <xf numFmtId="0" fontId="75" fillId="0" borderId="0" xfId="0" applyFont="1"/>
    <xf numFmtId="0" fontId="73" fillId="19" borderId="74" xfId="0" applyFont="1" applyFill="1" applyBorder="1" applyAlignment="1">
      <alignment horizontal="center" vertical="center"/>
    </xf>
    <xf numFmtId="0" fontId="1" fillId="0" borderId="39" xfId="0" applyFont="1" applyBorder="1" applyAlignment="1">
      <alignment vertical="center"/>
    </xf>
    <xf numFmtId="0" fontId="41" fillId="0" borderId="0" xfId="0" applyFont="1" applyAlignment="1">
      <alignment vertical="top"/>
    </xf>
    <xf numFmtId="0" fontId="54" fillId="0" borderId="0" xfId="0" applyFont="1" applyAlignment="1">
      <alignment vertical="center" wrapText="1"/>
    </xf>
    <xf numFmtId="0" fontId="77" fillId="0" borderId="0" xfId="0" applyFont="1"/>
    <xf numFmtId="0" fontId="78" fillId="0" borderId="0" xfId="0" applyFont="1" applyAlignment="1">
      <alignment horizontal="left" vertical="top" wrapText="1" indent="1"/>
    </xf>
    <xf numFmtId="0" fontId="8" fillId="12" borderId="31" xfId="0" applyFont="1" applyFill="1" applyBorder="1" applyAlignment="1">
      <alignment horizontal="left" vertical="center"/>
    </xf>
    <xf numFmtId="0" fontId="8" fillId="12" borderId="26" xfId="0" applyFont="1" applyFill="1" applyBorder="1" applyAlignment="1">
      <alignment horizontal="left" vertical="center"/>
    </xf>
    <xf numFmtId="0" fontId="8" fillId="12" borderId="26" xfId="0" applyFont="1" applyFill="1" applyBorder="1" applyAlignment="1">
      <alignment horizontal="center" vertical="center" wrapText="1"/>
    </xf>
    <xf numFmtId="0" fontId="8" fillId="0" borderId="0" xfId="0" applyFont="1" applyAlignment="1">
      <alignment horizontal="left" vertical="top" wrapText="1"/>
    </xf>
    <xf numFmtId="0" fontId="45" fillId="0" borderId="0" xfId="0" applyFont="1" applyAlignment="1">
      <alignment vertical="center" wrapText="1"/>
    </xf>
    <xf numFmtId="0" fontId="72" fillId="2" borderId="0" xfId="0" applyFont="1" applyFill="1" applyAlignment="1">
      <alignment vertical="top" wrapText="1"/>
    </xf>
    <xf numFmtId="0" fontId="44" fillId="0" borderId="0" xfId="0" applyFont="1" applyAlignment="1">
      <alignment horizontal="left" vertical="top" wrapText="1"/>
    </xf>
    <xf numFmtId="0" fontId="10" fillId="17" borderId="39" xfId="0" applyFont="1" applyFill="1" applyBorder="1" applyAlignment="1">
      <alignment vertical="center" wrapText="1"/>
    </xf>
    <xf numFmtId="165" fontId="10" fillId="17" borderId="39" xfId="0" applyNumberFormat="1" applyFont="1" applyFill="1" applyBorder="1" applyAlignment="1">
      <alignment vertical="center"/>
    </xf>
    <xf numFmtId="0" fontId="10" fillId="17" borderId="35" xfId="0" applyFont="1" applyFill="1" applyBorder="1" applyAlignment="1">
      <alignment vertical="center" wrapText="1"/>
    </xf>
    <xf numFmtId="165" fontId="10" fillId="17" borderId="35" xfId="0" applyNumberFormat="1" applyFont="1" applyFill="1" applyBorder="1" applyAlignment="1">
      <alignment vertical="center"/>
    </xf>
    <xf numFmtId="165" fontId="10" fillId="27" borderId="35" xfId="0" applyNumberFormat="1" applyFont="1" applyFill="1" applyBorder="1" applyAlignment="1">
      <alignment vertical="center"/>
    </xf>
    <xf numFmtId="0" fontId="8" fillId="17" borderId="35" xfId="0" applyFont="1" applyFill="1" applyBorder="1" applyAlignment="1">
      <alignment horizontal="left" vertical="center"/>
    </xf>
    <xf numFmtId="165" fontId="8" fillId="17" borderId="35" xfId="0" applyNumberFormat="1" applyFont="1" applyFill="1" applyBorder="1" applyAlignment="1">
      <alignment vertical="center"/>
    </xf>
    <xf numFmtId="0" fontId="8" fillId="17" borderId="35" xfId="0" applyFont="1" applyFill="1" applyBorder="1" applyAlignment="1">
      <alignment horizontal="left" vertical="center" indent="1"/>
    </xf>
    <xf numFmtId="0" fontId="0" fillId="8" borderId="14" xfId="0" applyFill="1" applyBorder="1" applyAlignment="1">
      <alignment vertical="top" wrapText="1"/>
    </xf>
    <xf numFmtId="0" fontId="77" fillId="8" borderId="14" xfId="0" applyFont="1" applyFill="1" applyBorder="1" applyAlignment="1">
      <alignment vertical="top" wrapText="1"/>
    </xf>
    <xf numFmtId="0" fontId="50" fillId="0" borderId="0" xfId="0" applyFont="1" applyAlignment="1">
      <alignment horizontal="right" vertical="center" wrapText="1"/>
    </xf>
    <xf numFmtId="0" fontId="50" fillId="0" borderId="0" xfId="0" applyFont="1" applyAlignment="1">
      <alignment horizontal="left" vertical="center" wrapText="1"/>
    </xf>
    <xf numFmtId="0" fontId="7" fillId="0" borderId="0" xfId="0" applyFont="1" applyAlignment="1">
      <alignment vertical="top" wrapText="1"/>
    </xf>
    <xf numFmtId="0" fontId="0" fillId="0" borderId="0" xfId="0" applyAlignment="1">
      <alignment horizontal="left" vertical="top"/>
    </xf>
    <xf numFmtId="0" fontId="7" fillId="0" borderId="0" xfId="0" applyFont="1" applyAlignment="1">
      <alignment horizontal="center" vertical="center"/>
    </xf>
    <xf numFmtId="0" fontId="0" fillId="0" borderId="0" xfId="0" quotePrefix="1"/>
    <xf numFmtId="0" fontId="45" fillId="0" borderId="0" xfId="0" applyFont="1" applyAlignment="1">
      <alignment horizontal="center" wrapText="1"/>
    </xf>
    <xf numFmtId="0" fontId="85" fillId="0" borderId="0" xfId="0" applyFont="1" applyAlignment="1">
      <alignment horizontal="center" wrapText="1"/>
    </xf>
    <xf numFmtId="0" fontId="19" fillId="19" borderId="76" xfId="0" applyFont="1" applyFill="1" applyBorder="1" applyAlignment="1">
      <alignment vertical="center" wrapText="1"/>
    </xf>
    <xf numFmtId="165" fontId="10" fillId="17" borderId="77" xfId="0" applyNumberFormat="1" applyFont="1" applyFill="1" applyBorder="1" applyAlignment="1">
      <alignment vertical="center"/>
    </xf>
    <xf numFmtId="165" fontId="10" fillId="17" borderId="75" xfId="0" applyNumberFormat="1" applyFont="1" applyFill="1" applyBorder="1" applyAlignment="1">
      <alignment vertical="center"/>
    </xf>
    <xf numFmtId="165" fontId="8" fillId="17" borderId="75" xfId="0" applyNumberFormat="1" applyFont="1" applyFill="1" applyBorder="1" applyAlignment="1">
      <alignment vertical="center"/>
    </xf>
    <xf numFmtId="165" fontId="0" fillId="13" borderId="75" xfId="0" applyNumberFormat="1" applyFill="1" applyBorder="1" applyAlignment="1">
      <alignment vertical="center"/>
    </xf>
    <xf numFmtId="165" fontId="1" fillId="13" borderId="75" xfId="0" applyNumberFormat="1" applyFont="1" applyFill="1" applyBorder="1" applyAlignment="1">
      <alignment vertical="center"/>
    </xf>
    <xf numFmtId="165" fontId="19" fillId="9" borderId="75" xfId="0" applyNumberFormat="1" applyFont="1" applyFill="1" applyBorder="1" applyAlignment="1">
      <alignment vertical="center"/>
    </xf>
    <xf numFmtId="0" fontId="19" fillId="19" borderId="69" xfId="0" applyFont="1" applyFill="1" applyBorder="1" applyAlignment="1">
      <alignment wrapText="1"/>
    </xf>
    <xf numFmtId="164" fontId="19" fillId="0" borderId="36" xfId="0" applyNumberFormat="1" applyFont="1" applyBorder="1"/>
    <xf numFmtId="165" fontId="19" fillId="19" borderId="36" xfId="0" quotePrefix="1" applyNumberFormat="1" applyFont="1" applyFill="1" applyBorder="1" applyAlignment="1">
      <alignment horizontal="right" vertical="center"/>
    </xf>
    <xf numFmtId="0" fontId="1" fillId="0" borderId="79" xfId="0" applyFont="1" applyBorder="1" applyAlignment="1">
      <alignment vertical="top"/>
    </xf>
    <xf numFmtId="165" fontId="0" fillId="19" borderId="75" xfId="0" applyNumberFormat="1" applyFill="1" applyBorder="1" applyAlignment="1">
      <alignment vertical="top"/>
    </xf>
    <xf numFmtId="165" fontId="19" fillId="24" borderId="75" xfId="0" applyNumberFormat="1" applyFont="1" applyFill="1" applyBorder="1" applyAlignment="1">
      <alignment vertical="center"/>
    </xf>
    <xf numFmtId="0" fontId="1" fillId="0" borderId="78" xfId="0" applyFont="1" applyBorder="1" applyAlignment="1">
      <alignment horizontal="left"/>
    </xf>
    <xf numFmtId="164" fontId="19" fillId="0" borderId="75" xfId="0" applyNumberFormat="1" applyFont="1" applyBorder="1"/>
    <xf numFmtId="165" fontId="19" fillId="19" borderId="75" xfId="0" applyNumberFormat="1" applyFont="1" applyFill="1" applyBorder="1" applyAlignment="1">
      <alignment vertical="center"/>
    </xf>
    <xf numFmtId="166" fontId="10" fillId="17" borderId="50" xfId="0" applyNumberFormat="1" applyFont="1" applyFill="1" applyBorder="1" applyAlignment="1">
      <alignment vertical="center"/>
    </xf>
    <xf numFmtId="166" fontId="8" fillId="17" borderId="75" xfId="0" applyNumberFormat="1" applyFont="1" applyFill="1" applyBorder="1" applyAlignment="1">
      <alignment vertical="center"/>
    </xf>
    <xf numFmtId="166" fontId="0" fillId="13" borderId="36" xfId="0" applyNumberFormat="1" applyFill="1" applyBorder="1" applyAlignment="1">
      <alignment vertical="center"/>
    </xf>
    <xf numFmtId="166" fontId="1" fillId="13" borderId="36" xfId="0" applyNumberFormat="1" applyFont="1" applyFill="1" applyBorder="1" applyAlignment="1">
      <alignment vertical="center"/>
    </xf>
    <xf numFmtId="166" fontId="19" fillId="9" borderId="36" xfId="0" applyNumberFormat="1" applyFont="1" applyFill="1" applyBorder="1" applyAlignment="1">
      <alignment vertical="center"/>
    </xf>
    <xf numFmtId="166" fontId="0" fillId="19" borderId="36" xfId="3" applyNumberFormat="1" applyFont="1" applyFill="1" applyBorder="1" applyAlignment="1">
      <alignment vertical="top"/>
    </xf>
    <xf numFmtId="166" fontId="1" fillId="0" borderId="36" xfId="3" applyNumberFormat="1" applyFont="1" applyBorder="1" applyAlignment="1">
      <alignment horizontal="left"/>
    </xf>
    <xf numFmtId="166" fontId="19" fillId="24" borderId="36" xfId="3" applyNumberFormat="1" applyFont="1" applyFill="1" applyBorder="1" applyAlignment="1">
      <alignment vertical="center"/>
    </xf>
    <xf numFmtId="166" fontId="5" fillId="0" borderId="0" xfId="3" applyNumberFormat="1" applyFont="1"/>
    <xf numFmtId="166" fontId="19" fillId="9" borderId="36" xfId="3" applyNumberFormat="1" applyFont="1" applyFill="1" applyBorder="1" applyAlignment="1">
      <alignment vertical="center"/>
    </xf>
    <xf numFmtId="166" fontId="10" fillId="17" borderId="50" xfId="3" applyNumberFormat="1" applyFont="1" applyFill="1" applyBorder="1" applyAlignment="1">
      <alignment vertical="center"/>
    </xf>
    <xf numFmtId="166" fontId="0" fillId="13" borderId="36" xfId="3" applyNumberFormat="1" applyFont="1" applyFill="1" applyBorder="1" applyAlignment="1">
      <alignment vertical="center"/>
    </xf>
    <xf numFmtId="166" fontId="1" fillId="13" borderId="36" xfId="3" applyNumberFormat="1" applyFont="1" applyFill="1" applyBorder="1" applyAlignment="1">
      <alignment vertical="center"/>
    </xf>
    <xf numFmtId="166" fontId="8" fillId="17" borderId="50" xfId="0" applyNumberFormat="1" applyFont="1" applyFill="1" applyBorder="1" applyAlignment="1">
      <alignment vertical="center"/>
    </xf>
    <xf numFmtId="0" fontId="0" fillId="0" borderId="80" xfId="0" applyBorder="1"/>
    <xf numFmtId="0" fontId="19" fillId="19" borderId="82" xfId="0" applyFont="1" applyFill="1" applyBorder="1" applyAlignment="1">
      <alignment wrapText="1"/>
    </xf>
    <xf numFmtId="0" fontId="10" fillId="0" borderId="83" xfId="0" applyFont="1" applyBorder="1"/>
    <xf numFmtId="166" fontId="0" fillId="19" borderId="81" xfId="3" applyNumberFormat="1" applyFont="1" applyFill="1" applyBorder="1" applyAlignment="1">
      <alignment vertical="top"/>
    </xf>
    <xf numFmtId="166" fontId="19" fillId="24" borderId="81" xfId="3" applyNumberFormat="1" applyFont="1" applyFill="1" applyBorder="1" applyAlignment="1">
      <alignment vertical="center"/>
    </xf>
    <xf numFmtId="166" fontId="1" fillId="0" borderId="81" xfId="3" applyNumberFormat="1" applyFont="1" applyBorder="1" applyAlignment="1">
      <alignment horizontal="left"/>
    </xf>
    <xf numFmtId="166" fontId="19" fillId="0" borderId="81" xfId="3" applyNumberFormat="1" applyFont="1" applyBorder="1"/>
    <xf numFmtId="166" fontId="19" fillId="9" borderId="81" xfId="3" applyNumberFormat="1" applyFont="1" applyFill="1" applyBorder="1" applyAlignment="1">
      <alignment vertical="center"/>
    </xf>
    <xf numFmtId="0" fontId="5" fillId="0" borderId="83" xfId="0" applyFont="1" applyBorder="1"/>
    <xf numFmtId="165" fontId="19" fillId="19" borderId="81" xfId="0" quotePrefix="1" applyNumberFormat="1" applyFont="1" applyFill="1" applyBorder="1" applyAlignment="1">
      <alignment horizontal="right" vertical="center"/>
    </xf>
    <xf numFmtId="164" fontId="19" fillId="0" borderId="81" xfId="0" applyNumberFormat="1" applyFont="1" applyBorder="1"/>
    <xf numFmtId="166" fontId="8" fillId="17" borderId="51" xfId="3" applyNumberFormat="1" applyFont="1" applyFill="1" applyBorder="1" applyAlignment="1">
      <alignment vertical="center"/>
    </xf>
    <xf numFmtId="0" fontId="10" fillId="0" borderId="26" xfId="0" applyFont="1" applyBorder="1" applyAlignment="1">
      <alignment vertical="center"/>
    </xf>
    <xf numFmtId="166" fontId="8" fillId="17" borderId="35" xfId="0" applyNumberFormat="1" applyFont="1" applyFill="1" applyBorder="1" applyAlignment="1">
      <alignment vertical="center"/>
    </xf>
    <xf numFmtId="0" fontId="5" fillId="8" borderId="0" xfId="0" applyFont="1" applyFill="1" applyAlignment="1">
      <alignment vertical="top"/>
    </xf>
    <xf numFmtId="14" fontId="5" fillId="8" borderId="0" xfId="0" applyNumberFormat="1" applyFont="1" applyFill="1" applyAlignment="1">
      <alignment horizontal="left" vertical="top"/>
    </xf>
    <xf numFmtId="0" fontId="19" fillId="0" borderId="3" xfId="0" applyFont="1" applyBorder="1" applyAlignment="1">
      <alignment vertical="center" wrapText="1"/>
    </xf>
    <xf numFmtId="0" fontId="28" fillId="0" borderId="0" xfId="0" applyFont="1"/>
    <xf numFmtId="0" fontId="5" fillId="0" borderId="0" xfId="0" applyFont="1" applyAlignment="1">
      <alignment vertical="top" wrapText="1"/>
    </xf>
    <xf numFmtId="0" fontId="5" fillId="0" borderId="0" xfId="0" applyFont="1" applyProtection="1">
      <protection locked="0"/>
    </xf>
    <xf numFmtId="0" fontId="19" fillId="0" borderId="0" xfId="0" applyFont="1" applyProtection="1">
      <protection locked="0"/>
    </xf>
    <xf numFmtId="3" fontId="19" fillId="0" borderId="0" xfId="0" applyNumberFormat="1" applyFont="1" applyProtection="1">
      <protection locked="0"/>
    </xf>
    <xf numFmtId="3" fontId="5" fillId="0" borderId="0" xfId="0" applyNumberFormat="1" applyFont="1" applyProtection="1">
      <protection locked="0"/>
    </xf>
    <xf numFmtId="0" fontId="44" fillId="0" borderId="0" xfId="0" applyFont="1"/>
    <xf numFmtId="10" fontId="9" fillId="39" borderId="25" xfId="0" applyNumberFormat="1" applyFont="1" applyFill="1" applyBorder="1"/>
    <xf numFmtId="0" fontId="9" fillId="39" borderId="41" xfId="0" applyFont="1" applyFill="1" applyBorder="1"/>
    <xf numFmtId="0" fontId="9" fillId="40" borderId="35" xfId="0" applyFont="1" applyFill="1" applyBorder="1"/>
    <xf numFmtId="0" fontId="0" fillId="0" borderId="3" xfId="0" applyBorder="1" applyAlignment="1">
      <alignment vertical="top"/>
    </xf>
    <xf numFmtId="0" fontId="1" fillId="0" borderId="3" xfId="0" applyFont="1" applyBorder="1"/>
    <xf numFmtId="0" fontId="5" fillId="0" borderId="5" xfId="0" applyFont="1" applyBorder="1" applyAlignment="1">
      <alignment horizontal="left" vertical="top" wrapText="1"/>
    </xf>
    <xf numFmtId="0" fontId="5" fillId="0" borderId="7" xfId="0" applyFont="1" applyBorder="1" applyAlignment="1">
      <alignment horizontal="left" vertical="top" wrapText="1"/>
    </xf>
    <xf numFmtId="0" fontId="5" fillId="0" borderId="4" xfId="0" applyFont="1" applyBorder="1" applyAlignment="1">
      <alignment horizontal="left" vertical="top" wrapText="1"/>
    </xf>
    <xf numFmtId="0" fontId="39" fillId="19" borderId="5" xfId="0" applyFont="1" applyFill="1" applyBorder="1" applyAlignment="1">
      <alignment horizontal="left" vertical="center"/>
    </xf>
    <xf numFmtId="0" fontId="39" fillId="19" borderId="7" xfId="0" applyFont="1" applyFill="1" applyBorder="1" applyAlignment="1">
      <alignment horizontal="left" vertical="center"/>
    </xf>
    <xf numFmtId="0" fontId="39" fillId="19" borderId="4" xfId="0" applyFont="1" applyFill="1" applyBorder="1" applyAlignment="1">
      <alignment horizontal="left" vertical="center"/>
    </xf>
    <xf numFmtId="0" fontId="0" fillId="0" borderId="15" xfId="0" applyBorder="1" applyAlignment="1">
      <alignment horizontal="left" vertical="top" wrapText="1"/>
    </xf>
    <xf numFmtId="0" fontId="0" fillId="0" borderId="2" xfId="0" applyBorder="1" applyAlignment="1">
      <alignment horizontal="left" vertical="top" wrapText="1"/>
    </xf>
    <xf numFmtId="0" fontId="0" fillId="8" borderId="0" xfId="0" applyFill="1" applyAlignment="1">
      <alignment horizontal="left" vertical="top" wrapText="1"/>
    </xf>
    <xf numFmtId="0" fontId="35" fillId="0" borderId="59" xfId="1" applyFont="1" applyBorder="1" applyAlignment="1">
      <alignment horizontal="left" vertical="top" wrapText="1"/>
    </xf>
    <xf numFmtId="0" fontId="5" fillId="8" borderId="0" xfId="0" applyFont="1" applyFill="1" applyAlignment="1">
      <alignment horizontal="left" vertical="top" wrapText="1"/>
    </xf>
    <xf numFmtId="0" fontId="39" fillId="19" borderId="60" xfId="0" applyFont="1" applyFill="1" applyBorder="1" applyAlignment="1">
      <alignment horizontal="left" vertical="center"/>
    </xf>
    <xf numFmtId="0" fontId="39" fillId="19" borderId="59" xfId="0" applyFont="1" applyFill="1" applyBorder="1" applyAlignment="1">
      <alignment horizontal="left" vertical="center"/>
    </xf>
    <xf numFmtId="0" fontId="39" fillId="19" borderId="61" xfId="0" applyFont="1" applyFill="1" applyBorder="1" applyAlignment="1">
      <alignment horizontal="left" vertical="center"/>
    </xf>
    <xf numFmtId="0" fontId="0" fillId="0" borderId="60" xfId="0" applyBorder="1" applyAlignment="1">
      <alignment horizontal="left" vertical="top" wrapText="1"/>
    </xf>
    <xf numFmtId="0" fontId="0" fillId="0" borderId="59" xfId="0" applyBorder="1" applyAlignment="1">
      <alignment horizontal="left" vertical="top" wrapText="1"/>
    </xf>
    <xf numFmtId="0" fontId="0" fillId="0" borderId="61" xfId="0" applyBorder="1" applyAlignment="1">
      <alignment horizontal="left" vertical="top" wrapText="1"/>
    </xf>
    <xf numFmtId="0" fontId="35" fillId="0" borderId="16" xfId="1" applyFont="1" applyBorder="1" applyAlignment="1">
      <alignment horizontal="left" vertical="top"/>
    </xf>
    <xf numFmtId="0" fontId="35" fillId="0" borderId="0" xfId="1" applyFont="1" applyBorder="1" applyAlignment="1">
      <alignment horizontal="left" vertical="top"/>
    </xf>
    <xf numFmtId="0" fontId="35" fillId="0" borderId="14" xfId="1" applyFont="1" applyBorder="1" applyAlignment="1">
      <alignment horizontal="left" vertical="top"/>
    </xf>
    <xf numFmtId="0" fontId="35" fillId="0" borderId="1" xfId="1" applyFont="1" applyBorder="1" applyAlignment="1">
      <alignment horizontal="left" vertical="top"/>
    </xf>
    <xf numFmtId="0" fontId="35" fillId="0" borderId="15" xfId="1" applyFont="1" applyBorder="1" applyAlignment="1">
      <alignment horizontal="left" vertical="top"/>
    </xf>
    <xf numFmtId="0" fontId="35" fillId="0" borderId="2" xfId="1" applyFont="1" applyBorder="1" applyAlignment="1">
      <alignment horizontal="left" vertical="top"/>
    </xf>
    <xf numFmtId="0" fontId="0" fillId="0" borderId="0" xfId="0" applyAlignment="1">
      <alignment vertical="top"/>
    </xf>
    <xf numFmtId="0" fontId="35" fillId="8" borderId="0" xfId="1" applyFont="1" applyFill="1" applyAlignment="1">
      <alignment horizontal="left" vertical="top"/>
    </xf>
    <xf numFmtId="0" fontId="0" fillId="8" borderId="16" xfId="0" applyFill="1" applyBorder="1" applyAlignment="1">
      <alignment horizontal="left" vertical="top"/>
    </xf>
    <xf numFmtId="0" fontId="0" fillId="8" borderId="0" xfId="0" applyFill="1" applyAlignment="1">
      <alignment horizontal="left" vertical="top"/>
    </xf>
    <xf numFmtId="0" fontId="0" fillId="8" borderId="14" xfId="0" applyFill="1" applyBorder="1" applyAlignment="1">
      <alignment horizontal="left" vertical="top"/>
    </xf>
    <xf numFmtId="0" fontId="0" fillId="0" borderId="0" xfId="0" applyAlignment="1">
      <alignment horizontal="left" vertical="top" wrapText="1"/>
    </xf>
    <xf numFmtId="0" fontId="5" fillId="0" borderId="0" xfId="0" applyFont="1" applyAlignment="1">
      <alignment horizontal="left" vertical="top" wrapText="1"/>
    </xf>
    <xf numFmtId="0" fontId="35" fillId="0" borderId="0" xfId="1" applyFont="1" applyBorder="1" applyAlignment="1">
      <alignment horizontal="left" vertical="top" wrapText="1"/>
    </xf>
    <xf numFmtId="0" fontId="0" fillId="0" borderId="0" xfId="0" applyAlignment="1">
      <alignment horizontal="left" vertical="center" wrapText="1" indent="1"/>
    </xf>
    <xf numFmtId="0" fontId="0" fillId="0" borderId="14" xfId="0" applyBorder="1" applyAlignment="1">
      <alignment horizontal="left" vertical="center" wrapText="1" indent="1"/>
    </xf>
    <xf numFmtId="0" fontId="35" fillId="0" borderId="15" xfId="1" applyFont="1" applyBorder="1" applyAlignment="1">
      <alignment horizontal="left" vertical="top" wrapText="1"/>
    </xf>
    <xf numFmtId="0" fontId="31" fillId="0" borderId="0" xfId="0" applyFont="1" applyAlignment="1">
      <alignment horizontal="left" wrapText="1"/>
    </xf>
    <xf numFmtId="0" fontId="31" fillId="0" borderId="0" xfId="0" applyFont="1" applyAlignment="1">
      <alignment horizontal="left"/>
    </xf>
    <xf numFmtId="0" fontId="0" fillId="8" borderId="1" xfId="0" applyFill="1" applyBorder="1" applyAlignment="1">
      <alignment horizontal="left" vertical="top" wrapText="1"/>
    </xf>
    <xf numFmtId="0" fontId="0" fillId="8" borderId="15" xfId="0" applyFill="1" applyBorder="1" applyAlignment="1">
      <alignment horizontal="left" vertical="top" wrapText="1"/>
    </xf>
    <xf numFmtId="0" fontId="0" fillId="8" borderId="2" xfId="0" applyFill="1" applyBorder="1" applyAlignment="1">
      <alignment horizontal="left" vertical="top" wrapText="1"/>
    </xf>
    <xf numFmtId="0" fontId="1" fillId="18" borderId="16" xfId="0" applyFont="1" applyFill="1" applyBorder="1" applyAlignment="1">
      <alignment horizontal="left" vertical="top" wrapText="1"/>
    </xf>
    <xf numFmtId="0" fontId="1" fillId="18" borderId="0" xfId="0" applyFont="1" applyFill="1" applyAlignment="1">
      <alignment horizontal="left" vertical="top" wrapText="1"/>
    </xf>
    <xf numFmtId="0" fontId="1" fillId="18" borderId="14" xfId="0" applyFont="1" applyFill="1" applyBorder="1" applyAlignment="1">
      <alignment horizontal="left" vertical="top" wrapText="1"/>
    </xf>
    <xf numFmtId="0" fontId="0" fillId="8" borderId="16" xfId="0" applyFill="1" applyBorder="1" applyAlignment="1">
      <alignment horizontal="left" vertical="top" wrapText="1"/>
    </xf>
    <xf numFmtId="0" fontId="0" fillId="8" borderId="14" xfId="0" applyFill="1" applyBorder="1" applyAlignment="1">
      <alignment horizontal="left" vertical="top" wrapText="1"/>
    </xf>
    <xf numFmtId="0" fontId="1" fillId="13" borderId="16" xfId="0" applyFont="1" applyFill="1" applyBorder="1" applyAlignment="1">
      <alignment horizontal="left" vertical="top" wrapText="1"/>
    </xf>
    <xf numFmtId="0" fontId="1" fillId="13" borderId="0" xfId="0" applyFont="1" applyFill="1" applyAlignment="1">
      <alignment horizontal="left" vertical="top" wrapText="1"/>
    </xf>
    <xf numFmtId="0" fontId="1" fillId="13" borderId="14" xfId="0" applyFont="1" applyFill="1" applyBorder="1" applyAlignment="1">
      <alignment horizontal="left" vertical="top" wrapText="1"/>
    </xf>
    <xf numFmtId="0" fontId="8" fillId="17" borderId="16" xfId="0" applyFont="1" applyFill="1" applyBorder="1" applyAlignment="1">
      <alignment horizontal="left" vertical="top" wrapText="1"/>
    </xf>
    <xf numFmtId="0" fontId="8" fillId="17" borderId="0" xfId="0" applyFont="1" applyFill="1" applyAlignment="1">
      <alignment horizontal="left" vertical="top" wrapText="1"/>
    </xf>
    <xf numFmtId="0" fontId="8" fillId="17" borderId="14" xfId="0" applyFont="1" applyFill="1" applyBorder="1" applyAlignment="1">
      <alignment horizontal="left" vertical="top" wrapText="1"/>
    </xf>
    <xf numFmtId="0" fontId="0" fillId="0" borderId="16" xfId="0" applyBorder="1" applyAlignment="1">
      <alignment horizontal="left" vertical="top" wrapText="1"/>
    </xf>
    <xf numFmtId="0" fontId="0" fillId="0" borderId="14" xfId="0" applyBorder="1" applyAlignment="1">
      <alignment horizontal="left" vertical="top" wrapText="1"/>
    </xf>
    <xf numFmtId="0" fontId="39" fillId="19" borderId="47" xfId="0" applyFont="1" applyFill="1" applyBorder="1" applyAlignment="1">
      <alignment horizontal="left" vertical="center"/>
    </xf>
    <xf numFmtId="0" fontId="39" fillId="19" borderId="48" xfId="0" applyFont="1" applyFill="1" applyBorder="1" applyAlignment="1">
      <alignment horizontal="left" vertical="center"/>
    </xf>
    <xf numFmtId="0" fontId="39" fillId="19" borderId="49" xfId="0" applyFont="1" applyFill="1" applyBorder="1" applyAlignment="1">
      <alignment horizontal="left" vertical="center"/>
    </xf>
    <xf numFmtId="0" fontId="5" fillId="0" borderId="47" xfId="0" applyFont="1" applyBorder="1" applyAlignment="1">
      <alignment horizontal="left" vertical="top" wrapText="1"/>
    </xf>
    <xf numFmtId="0" fontId="5" fillId="0" borderId="48" xfId="0" applyFont="1" applyBorder="1" applyAlignment="1">
      <alignment horizontal="left" vertical="top" wrapText="1"/>
    </xf>
    <xf numFmtId="0" fontId="5" fillId="0" borderId="49" xfId="0" applyFont="1" applyBorder="1" applyAlignment="1">
      <alignment horizontal="left" vertical="top" wrapText="1"/>
    </xf>
    <xf numFmtId="0" fontId="68" fillId="0" borderId="0" xfId="0" applyFont="1" applyAlignment="1">
      <alignment horizontal="left"/>
    </xf>
    <xf numFmtId="0" fontId="1" fillId="19" borderId="3" xfId="0" applyFont="1" applyFill="1" applyBorder="1" applyAlignment="1">
      <alignment horizontal="left" vertical="center" wrapText="1"/>
    </xf>
    <xf numFmtId="0" fontId="32" fillId="0" borderId="0" xfId="0" applyFont="1" applyAlignment="1">
      <alignment horizontal="left" vertical="top" wrapText="1"/>
    </xf>
    <xf numFmtId="0" fontId="45" fillId="0" borderId="0" xfId="0" applyFont="1" applyAlignment="1" applyProtection="1">
      <alignment horizontal="left" wrapText="1"/>
      <protection locked="0"/>
    </xf>
    <xf numFmtId="0" fontId="32" fillId="0" borderId="63" xfId="0" applyFont="1" applyBorder="1" applyAlignment="1">
      <alignment horizontal="left" vertical="top" wrapText="1"/>
    </xf>
    <xf numFmtId="0" fontId="32" fillId="0" borderId="64" xfId="0" applyFont="1" applyBorder="1" applyAlignment="1">
      <alignment horizontal="left" vertical="top" wrapText="1"/>
    </xf>
    <xf numFmtId="0" fontId="81" fillId="17" borderId="32" xfId="0" applyFont="1" applyFill="1" applyBorder="1" applyAlignment="1" applyProtection="1">
      <alignment horizontal="center" vertical="center" textRotation="90"/>
      <protection locked="0"/>
    </xf>
    <xf numFmtId="0" fontId="81" fillId="17" borderId="33" xfId="0" applyFont="1" applyFill="1" applyBorder="1" applyAlignment="1" applyProtection="1">
      <alignment horizontal="center" vertical="center" textRotation="90"/>
      <protection locked="0"/>
    </xf>
    <xf numFmtId="0" fontId="81" fillId="17" borderId="34" xfId="0" applyFont="1" applyFill="1" applyBorder="1" applyAlignment="1" applyProtection="1">
      <alignment horizontal="center" vertical="center" textRotation="90"/>
      <protection locked="0"/>
    </xf>
    <xf numFmtId="0" fontId="45" fillId="0" borderId="0" xfId="0" applyFont="1" applyAlignment="1">
      <alignment horizontal="center" wrapText="1"/>
    </xf>
    <xf numFmtId="0" fontId="32" fillId="0" borderId="45" xfId="0" applyFont="1" applyBorder="1" applyAlignment="1">
      <alignment horizontal="left" vertical="top" wrapText="1"/>
    </xf>
    <xf numFmtId="0" fontId="32" fillId="0" borderId="46" xfId="0" applyFont="1" applyBorder="1" applyAlignment="1">
      <alignment horizontal="left" vertical="top" wrapText="1"/>
    </xf>
    <xf numFmtId="0" fontId="32" fillId="0" borderId="56" xfId="0" applyFont="1" applyBorder="1" applyAlignment="1">
      <alignment horizontal="left" vertical="center" wrapText="1"/>
    </xf>
    <xf numFmtId="0" fontId="32" fillId="0" borderId="57" xfId="0" applyFont="1" applyBorder="1" applyAlignment="1">
      <alignment horizontal="left" vertical="center" wrapText="1"/>
    </xf>
    <xf numFmtId="0" fontId="32" fillId="0" borderId="58" xfId="0" applyFont="1" applyBorder="1" applyAlignment="1">
      <alignment horizontal="left" vertical="center" wrapText="1"/>
    </xf>
    <xf numFmtId="0" fontId="8" fillId="17" borderId="32" xfId="0" applyFont="1" applyFill="1" applyBorder="1" applyAlignment="1" applyProtection="1">
      <alignment horizontal="center" vertical="center" textRotation="90" wrapText="1"/>
      <protection locked="0"/>
    </xf>
    <xf numFmtId="0" fontId="8" fillId="17" borderId="33" xfId="0" applyFont="1" applyFill="1" applyBorder="1" applyAlignment="1" applyProtection="1">
      <alignment horizontal="center" vertical="center" textRotation="90"/>
      <protection locked="0"/>
    </xf>
    <xf numFmtId="0" fontId="45" fillId="0" borderId="0" xfId="0" applyFont="1" applyAlignment="1">
      <alignment horizontal="left" vertical="top" wrapText="1"/>
    </xf>
    <xf numFmtId="0" fontId="3" fillId="13" borderId="32" xfId="0" applyFont="1" applyFill="1" applyBorder="1" applyAlignment="1" applyProtection="1">
      <alignment horizontal="center" vertical="center" textRotation="90"/>
      <protection locked="0"/>
    </xf>
    <xf numFmtId="0" fontId="3" fillId="13" borderId="33" xfId="0" applyFont="1" applyFill="1" applyBorder="1" applyAlignment="1" applyProtection="1">
      <alignment horizontal="center" vertical="center" textRotation="90"/>
      <protection locked="0"/>
    </xf>
    <xf numFmtId="0" fontId="3" fillId="13" borderId="34" xfId="0" applyFont="1" applyFill="1" applyBorder="1" applyAlignment="1" applyProtection="1">
      <alignment horizontal="center" vertical="center" textRotation="90"/>
      <protection locked="0"/>
    </xf>
    <xf numFmtId="0" fontId="1" fillId="13" borderId="32" xfId="0" applyFont="1" applyFill="1" applyBorder="1" applyAlignment="1" applyProtection="1">
      <alignment horizontal="center" vertical="center" textRotation="90" wrapText="1"/>
      <protection locked="0"/>
    </xf>
    <xf numFmtId="0" fontId="1" fillId="13" borderId="33" xfId="0" applyFont="1" applyFill="1" applyBorder="1" applyAlignment="1" applyProtection="1">
      <alignment horizontal="center" vertical="center" textRotation="90" wrapText="1"/>
      <protection locked="0"/>
    </xf>
    <xf numFmtId="0" fontId="3" fillId="13" borderId="32" xfId="0" applyFont="1" applyFill="1" applyBorder="1" applyAlignment="1" applyProtection="1">
      <alignment horizontal="center" vertical="center" textRotation="90" wrapText="1"/>
      <protection locked="0"/>
    </xf>
    <xf numFmtId="0" fontId="3" fillId="13" borderId="33" xfId="0" applyFont="1" applyFill="1" applyBorder="1" applyAlignment="1" applyProtection="1">
      <alignment horizontal="center" vertical="center" textRotation="90" wrapText="1"/>
      <protection locked="0"/>
    </xf>
    <xf numFmtId="0" fontId="3" fillId="13" borderId="34" xfId="0" applyFont="1" applyFill="1" applyBorder="1" applyAlignment="1" applyProtection="1">
      <alignment horizontal="center" vertical="center" textRotation="90" wrapText="1"/>
      <protection locked="0"/>
    </xf>
    <xf numFmtId="0" fontId="3" fillId="18" borderId="32" xfId="0" applyFont="1" applyFill="1" applyBorder="1" applyAlignment="1">
      <alignment horizontal="center" vertical="center" textRotation="90"/>
    </xf>
    <xf numFmtId="0" fontId="3" fillId="18" borderId="33" xfId="0" applyFont="1" applyFill="1" applyBorder="1" applyAlignment="1">
      <alignment horizontal="center" vertical="center" textRotation="90"/>
    </xf>
    <xf numFmtId="0" fontId="3" fillId="18" borderId="34" xfId="0" applyFont="1" applyFill="1" applyBorder="1" applyAlignment="1">
      <alignment horizontal="center" vertical="center" textRotation="90"/>
    </xf>
    <xf numFmtId="0" fontId="19" fillId="18" borderId="32" xfId="0" applyFont="1" applyFill="1" applyBorder="1" applyAlignment="1">
      <alignment horizontal="center" vertical="center" textRotation="90" wrapText="1"/>
    </xf>
    <xf numFmtId="0" fontId="19" fillId="18" borderId="33" xfId="0" applyFont="1" applyFill="1" applyBorder="1" applyAlignment="1">
      <alignment horizontal="center" vertical="center" textRotation="90" wrapText="1"/>
    </xf>
    <xf numFmtId="0" fontId="19" fillId="18" borderId="34" xfId="0" applyFont="1" applyFill="1" applyBorder="1" applyAlignment="1">
      <alignment horizontal="center" vertical="center" textRotation="90" wrapText="1"/>
    </xf>
    <xf numFmtId="0" fontId="41" fillId="0" borderId="0" xfId="0" applyFont="1" applyAlignment="1">
      <alignment horizontal="center"/>
    </xf>
    <xf numFmtId="0" fontId="1" fillId="0" borderId="3" xfId="0" applyFont="1" applyBorder="1" applyAlignment="1">
      <alignment horizontal="center" vertical="center" wrapText="1"/>
    </xf>
    <xf numFmtId="0" fontId="1" fillId="13" borderId="41" xfId="0" applyFont="1" applyFill="1" applyBorder="1" applyAlignment="1">
      <alignment horizontal="center" vertical="center" textRotation="90" wrapText="1"/>
    </xf>
    <xf numFmtId="0" fontId="1" fillId="13" borderId="30" xfId="0" applyFont="1" applyFill="1" applyBorder="1" applyAlignment="1">
      <alignment horizontal="center" vertical="center" textRotation="90" wrapText="1"/>
    </xf>
    <xf numFmtId="0" fontId="1" fillId="13" borderId="39" xfId="0" applyFont="1" applyFill="1" applyBorder="1" applyAlignment="1">
      <alignment horizontal="center" vertical="center" textRotation="90" wrapText="1"/>
    </xf>
    <xf numFmtId="0" fontId="37" fillId="0" borderId="5" xfId="0" applyFont="1" applyBorder="1" applyAlignment="1">
      <alignment horizontal="left" vertical="center"/>
    </xf>
    <xf numFmtId="0" fontId="37" fillId="0" borderId="4" xfId="0" applyFont="1" applyBorder="1" applyAlignment="1">
      <alignment horizontal="left" vertical="center"/>
    </xf>
    <xf numFmtId="0" fontId="41" fillId="0" borderId="15" xfId="0" applyFont="1" applyBorder="1" applyAlignment="1">
      <alignment horizontal="left"/>
    </xf>
    <xf numFmtId="0" fontId="8" fillId="17" borderId="35" xfId="0" applyFont="1" applyFill="1" applyBorder="1" applyAlignment="1">
      <alignment horizontal="center" vertical="center" textRotation="90"/>
    </xf>
    <xf numFmtId="0" fontId="1" fillId="18" borderId="39" xfId="0" applyFont="1" applyFill="1" applyBorder="1" applyAlignment="1">
      <alignment horizontal="left" vertical="center" wrapText="1" indent="1"/>
    </xf>
    <xf numFmtId="0" fontId="1" fillId="18" borderId="35" xfId="0" applyFont="1" applyFill="1" applyBorder="1" applyAlignment="1">
      <alignment horizontal="left" vertical="center" wrapText="1" indent="1"/>
    </xf>
    <xf numFmtId="0" fontId="41" fillId="0" borderId="16" xfId="0" applyFont="1" applyBorder="1" applyAlignment="1">
      <alignment horizontal="left" vertical="center" wrapText="1"/>
    </xf>
    <xf numFmtId="0" fontId="41" fillId="0" borderId="0" xfId="0" applyFont="1" applyAlignment="1">
      <alignment horizontal="left" vertical="center" wrapText="1"/>
    </xf>
    <xf numFmtId="0" fontId="31" fillId="0" borderId="60" xfId="0" applyFont="1" applyBorder="1" applyAlignment="1">
      <alignment horizontal="center"/>
    </xf>
    <xf numFmtId="0" fontId="31" fillId="0" borderId="61" xfId="0" applyFont="1" applyBorder="1" applyAlignment="1">
      <alignment horizontal="center"/>
    </xf>
    <xf numFmtId="0" fontId="7" fillId="0" borderId="0" xfId="0" applyFont="1" applyAlignment="1">
      <alignment horizontal="center" vertical="center"/>
    </xf>
    <xf numFmtId="165" fontId="23" fillId="7" borderId="37" xfId="0" applyNumberFormat="1" applyFont="1" applyFill="1" applyBorder="1" applyAlignment="1">
      <alignment horizontal="right" vertical="center"/>
    </xf>
    <xf numFmtId="0" fontId="23" fillId="7" borderId="36" xfId="0" applyFont="1" applyFill="1" applyBorder="1" applyAlignment="1">
      <alignment horizontal="left" vertical="center"/>
    </xf>
    <xf numFmtId="0" fontId="42" fillId="19" borderId="0" xfId="0" applyFont="1" applyFill="1" applyAlignment="1">
      <alignment horizontal="left"/>
    </xf>
    <xf numFmtId="0" fontId="19" fillId="19" borderId="38" xfId="0" applyFont="1" applyFill="1" applyBorder="1" applyAlignment="1">
      <alignment horizontal="left" vertical="center" wrapText="1"/>
    </xf>
    <xf numFmtId="0" fontId="0" fillId="18" borderId="39" xfId="0" applyFill="1" applyBorder="1" applyAlignment="1">
      <alignment horizontal="left" vertical="center" wrapText="1"/>
    </xf>
    <xf numFmtId="0" fontId="0" fillId="18" borderId="35" xfId="0" applyFill="1" applyBorder="1" applyAlignment="1">
      <alignment horizontal="left" vertical="center" wrapText="1"/>
    </xf>
    <xf numFmtId="0" fontId="42" fillId="2" borderId="5" xfId="0" applyFont="1" applyFill="1" applyBorder="1" applyAlignment="1" applyProtection="1">
      <alignment horizontal="left" wrapText="1"/>
      <protection locked="0"/>
    </xf>
    <xf numFmtId="0" fontId="42" fillId="2" borderId="7" xfId="0" applyFont="1" applyFill="1" applyBorder="1" applyAlignment="1" applyProtection="1">
      <alignment horizontal="left" wrapText="1"/>
      <protection locked="0"/>
    </xf>
    <xf numFmtId="0" fontId="42" fillId="2" borderId="4" xfId="0" applyFont="1" applyFill="1" applyBorder="1" applyAlignment="1" applyProtection="1">
      <alignment horizontal="left" wrapText="1"/>
      <protection locked="0"/>
    </xf>
    <xf numFmtId="0" fontId="1" fillId="24" borderId="51" xfId="0" applyFont="1" applyFill="1" applyBorder="1" applyAlignment="1">
      <alignment horizontal="center" vertical="center"/>
    </xf>
    <xf numFmtId="0" fontId="1" fillId="24" borderId="36" xfId="0" applyFont="1" applyFill="1" applyBorder="1" applyAlignment="1">
      <alignment horizontal="center" vertical="center"/>
    </xf>
    <xf numFmtId="0" fontId="1" fillId="24" borderId="37" xfId="0" applyFont="1" applyFill="1" applyBorder="1" applyAlignment="1">
      <alignment horizontal="center" vertical="center"/>
    </xf>
    <xf numFmtId="0" fontId="31" fillId="0" borderId="10" xfId="0" applyFont="1" applyBorder="1" applyAlignment="1">
      <alignment horizontal="left" wrapText="1"/>
    </xf>
    <xf numFmtId="0" fontId="32" fillId="19" borderId="10" xfId="0" applyFont="1" applyFill="1" applyBorder="1" applyAlignment="1">
      <alignment horizontal="left" vertical="center" wrapText="1" indent="3"/>
    </xf>
    <xf numFmtId="0" fontId="32" fillId="19" borderId="0" xfId="0" applyFont="1" applyFill="1" applyAlignment="1">
      <alignment horizontal="left" vertical="center" wrapText="1" indent="3"/>
    </xf>
    <xf numFmtId="0" fontId="32" fillId="19" borderId="17" xfId="0" applyFont="1" applyFill="1" applyBorder="1" applyAlignment="1">
      <alignment horizontal="left" vertical="center" wrapText="1" indent="3"/>
    </xf>
    <xf numFmtId="0" fontId="23" fillId="7" borderId="25" xfId="0" applyFont="1" applyFill="1" applyBorder="1" applyAlignment="1">
      <alignment horizontal="left" vertical="center" indent="1"/>
    </xf>
    <xf numFmtId="0" fontId="23" fillId="7" borderId="52" xfId="0" applyFont="1" applyFill="1" applyBorder="1" applyAlignment="1">
      <alignment horizontal="left" vertical="center" indent="1"/>
    </xf>
    <xf numFmtId="0" fontId="23" fillId="7" borderId="40" xfId="0" applyFont="1" applyFill="1" applyBorder="1" applyAlignment="1">
      <alignment horizontal="left" vertical="center" indent="1"/>
    </xf>
    <xf numFmtId="0" fontId="23" fillId="7" borderId="50" xfId="0" applyFont="1" applyFill="1" applyBorder="1" applyAlignment="1">
      <alignment horizontal="left" vertical="center" indent="1"/>
    </xf>
    <xf numFmtId="0" fontId="60" fillId="0" borderId="0" xfId="0" applyFont="1" applyAlignment="1">
      <alignment horizontal="center" vertical="center"/>
    </xf>
    <xf numFmtId="0" fontId="58" fillId="0" borderId="0" xfId="0" applyFont="1" applyAlignment="1">
      <alignment horizontal="left"/>
    </xf>
    <xf numFmtId="0" fontId="64" fillId="0" borderId="0" xfId="0" applyFont="1" applyAlignment="1">
      <alignment horizontal="left"/>
    </xf>
    <xf numFmtId="0" fontId="57" fillId="0" borderId="0" xfId="0" applyFont="1" applyAlignment="1">
      <alignment horizontal="left"/>
    </xf>
    <xf numFmtId="0" fontId="57" fillId="0" borderId="0" xfId="0" applyFont="1" applyAlignment="1">
      <alignment horizontal="left" wrapText="1"/>
    </xf>
    <xf numFmtId="0" fontId="59" fillId="0" borderId="0" xfId="0" applyFont="1" applyAlignment="1">
      <alignment horizontal="center" vertical="center"/>
    </xf>
    <xf numFmtId="14" fontId="10" fillId="0" borderId="0" xfId="0" applyNumberFormat="1" applyFont="1" applyAlignment="1">
      <alignment horizontal="right"/>
    </xf>
    <xf numFmtId="0" fontId="54" fillId="0" borderId="0" xfId="0" applyFont="1" applyAlignment="1">
      <alignment horizontal="left" vertical="top" wrapText="1"/>
    </xf>
    <xf numFmtId="0" fontId="32" fillId="0" borderId="0" xfId="0" applyFont="1" applyAlignment="1">
      <alignment horizontal="left" vertical="center" wrapText="1"/>
    </xf>
    <xf numFmtId="0" fontId="50" fillId="0" borderId="0" xfId="0" applyFont="1" applyAlignment="1">
      <alignment horizontal="left" vertical="top"/>
    </xf>
    <xf numFmtId="0" fontId="51" fillId="0" borderId="0" xfId="0" applyFont="1" applyAlignment="1">
      <alignment horizontal="center" vertical="top"/>
    </xf>
    <xf numFmtId="0" fontId="53" fillId="0" borderId="0" xfId="0" applyFont="1" applyAlignment="1">
      <alignment horizontal="center" vertical="center"/>
    </xf>
    <xf numFmtId="0" fontId="49" fillId="0" borderId="0" xfId="0" applyFont="1" applyAlignment="1">
      <alignment horizontal="center"/>
    </xf>
    <xf numFmtId="0" fontId="50" fillId="0" borderId="0" xfId="0" applyFont="1" applyAlignment="1">
      <alignment horizontal="right" vertical="center" wrapText="1"/>
    </xf>
    <xf numFmtId="0" fontId="50" fillId="0" borderId="0" xfId="0" applyFont="1" applyAlignment="1">
      <alignment horizontal="left" vertical="center" wrapText="1"/>
    </xf>
    <xf numFmtId="0" fontId="50" fillId="0" borderId="0" xfId="0" applyFont="1" applyAlignment="1">
      <alignment horizontal="center" vertical="center" wrapText="1"/>
    </xf>
    <xf numFmtId="0" fontId="76" fillId="0" borderId="0" xfId="0" applyFont="1" applyAlignment="1">
      <alignment horizontal="left" vertical="center" wrapText="1"/>
    </xf>
    <xf numFmtId="0" fontId="46" fillId="0" borderId="53" xfId="0" applyFont="1" applyBorder="1" applyAlignment="1">
      <alignment horizontal="left" vertical="top"/>
    </xf>
    <xf numFmtId="0" fontId="33" fillId="0" borderId="54" xfId="0" applyFont="1" applyBorder="1" applyAlignment="1">
      <alignment horizontal="left" vertical="top"/>
    </xf>
    <xf numFmtId="0" fontId="33" fillId="0" borderId="55" xfId="0" applyFont="1" applyBorder="1" applyAlignment="1">
      <alignment horizontal="left" vertical="top"/>
    </xf>
    <xf numFmtId="0" fontId="44" fillId="0" borderId="0" xfId="0" applyFont="1" applyAlignment="1">
      <alignment horizontal="left" vertical="top" wrapText="1" indent="1"/>
    </xf>
    <xf numFmtId="0" fontId="32" fillId="0" borderId="56" xfId="0" applyFont="1" applyBorder="1" applyAlignment="1">
      <alignment horizontal="left" vertical="top" wrapText="1"/>
    </xf>
    <xf numFmtId="0" fontId="32" fillId="0" borderId="57" xfId="0" applyFont="1" applyBorder="1" applyAlignment="1">
      <alignment horizontal="left" vertical="top" wrapText="1"/>
    </xf>
    <xf numFmtId="0" fontId="32" fillId="0" borderId="58" xfId="0" applyFont="1" applyBorder="1" applyAlignment="1">
      <alignment horizontal="left" vertical="top" wrapText="1"/>
    </xf>
    <xf numFmtId="0" fontId="1" fillId="0" borderId="5" xfId="0" applyFont="1" applyBorder="1" applyAlignment="1">
      <alignment horizontal="left"/>
    </xf>
    <xf numFmtId="0" fontId="1" fillId="0" borderId="4" xfId="0" applyFont="1" applyBorder="1" applyAlignment="1">
      <alignment horizontal="left"/>
    </xf>
    <xf numFmtId="0" fontId="45" fillId="0" borderId="3" xfId="0" applyFont="1" applyBorder="1" applyAlignment="1">
      <alignment horizontal="left" vertical="top" wrapText="1"/>
    </xf>
    <xf numFmtId="0" fontId="32" fillId="0" borderId="3" xfId="0" applyFont="1" applyBorder="1" applyAlignment="1">
      <alignment horizontal="left" vertical="top" wrapText="1"/>
    </xf>
    <xf numFmtId="0" fontId="88" fillId="0" borderId="3" xfId="1" applyFont="1" applyBorder="1" applyAlignment="1">
      <alignment horizontal="left" vertical="top" wrapText="1"/>
    </xf>
    <xf numFmtId="0" fontId="1" fillId="0" borderId="3" xfId="0" applyFont="1" applyBorder="1" applyAlignment="1">
      <alignment horizontal="left" wrapText="1"/>
    </xf>
    <xf numFmtId="0" fontId="8" fillId="37" borderId="3" xfId="0" applyFont="1" applyFill="1" applyBorder="1" applyAlignment="1">
      <alignment horizontal="left" vertical="top"/>
    </xf>
    <xf numFmtId="49" fontId="0" fillId="36" borderId="3" xfId="0" quotePrefix="1" applyNumberFormat="1" applyFill="1" applyBorder="1" applyAlignment="1">
      <alignment horizontal="left" vertical="top" wrapText="1"/>
    </xf>
    <xf numFmtId="49" fontId="0" fillId="36" borderId="3" xfId="0" applyNumberFormat="1" applyFill="1" applyBorder="1" applyAlignment="1">
      <alignment horizontal="left" vertical="top" wrapText="1"/>
    </xf>
    <xf numFmtId="0" fontId="3" fillId="2" borderId="26" xfId="0" applyFont="1" applyFill="1" applyBorder="1" applyAlignment="1">
      <alignment horizontal="center" vertical="top"/>
    </xf>
    <xf numFmtId="0" fontId="3" fillId="2" borderId="0" xfId="0" applyFont="1" applyFill="1" applyAlignment="1">
      <alignment horizontal="center" vertical="top"/>
    </xf>
    <xf numFmtId="0" fontId="3" fillId="2" borderId="66" xfId="0" applyFont="1" applyFill="1" applyBorder="1" applyAlignment="1">
      <alignment horizontal="center" vertical="top"/>
    </xf>
    <xf numFmtId="0" fontId="3" fillId="9" borderId="26" xfId="0" applyFont="1" applyFill="1" applyBorder="1" applyAlignment="1">
      <alignment horizontal="center" vertical="top"/>
    </xf>
    <xf numFmtId="0" fontId="3" fillId="9" borderId="0" xfId="0" applyFont="1" applyFill="1" applyAlignment="1">
      <alignment horizontal="center" vertical="top"/>
    </xf>
    <xf numFmtId="0" fontId="3" fillId="9" borderId="66" xfId="0" applyFont="1" applyFill="1" applyBorder="1" applyAlignment="1">
      <alignment horizontal="center" vertical="top"/>
    </xf>
    <xf numFmtId="0" fontId="3" fillId="27" borderId="26" xfId="0" applyFont="1" applyFill="1" applyBorder="1" applyAlignment="1">
      <alignment horizontal="center" vertical="top"/>
    </xf>
    <xf numFmtId="0" fontId="3" fillId="27" borderId="0" xfId="0" applyFont="1" applyFill="1" applyAlignment="1">
      <alignment horizontal="center" vertical="top"/>
    </xf>
    <xf numFmtId="0" fontId="3" fillId="27" borderId="66" xfId="0" applyFont="1" applyFill="1" applyBorder="1" applyAlignment="1">
      <alignment horizontal="center" vertical="top"/>
    </xf>
    <xf numFmtId="49" fontId="0" fillId="36" borderId="3" xfId="0" applyNumberFormat="1" applyFill="1" applyBorder="1" applyAlignment="1">
      <alignment horizontal="left" vertical="top"/>
    </xf>
    <xf numFmtId="0" fontId="3" fillId="7" borderId="26" xfId="0" applyFont="1" applyFill="1" applyBorder="1" applyAlignment="1">
      <alignment horizontal="center" vertical="top"/>
    </xf>
    <xf numFmtId="0" fontId="3" fillId="7" borderId="0" xfId="0" applyFont="1" applyFill="1" applyAlignment="1">
      <alignment horizontal="center" vertical="top"/>
    </xf>
    <xf numFmtId="0" fontId="3" fillId="7" borderId="66" xfId="0" applyFont="1" applyFill="1" applyBorder="1" applyAlignment="1">
      <alignment horizontal="center" vertical="top"/>
    </xf>
    <xf numFmtId="0" fontId="1" fillId="24" borderId="0" xfId="0" applyFont="1" applyFill="1" applyAlignment="1">
      <alignment vertical="top" wrapText="1"/>
    </xf>
    <xf numFmtId="165" fontId="19" fillId="24" borderId="0" xfId="0" applyNumberFormat="1" applyFont="1" applyFill="1"/>
    <xf numFmtId="165" fontId="1" fillId="24" borderId="0" xfId="0" applyNumberFormat="1" applyFont="1" applyFill="1"/>
  </cellXfs>
  <cellStyles count="5">
    <cellStyle name="Komma 2" xfId="2" xr:uid="{88FF6E75-90D6-4291-B2B5-860A7FBA7045}"/>
    <cellStyle name="Komma 2 2" xfId="4" xr:uid="{14B55292-126E-482A-B3A7-4D448C80571B}"/>
    <cellStyle name="Link" xfId="1" builtinId="8"/>
    <cellStyle name="Prozent" xfId="3" builtinId="5"/>
    <cellStyle name="Standard" xfId="0" builtinId="0"/>
  </cellStyles>
  <dxfs count="1355">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auto="1"/>
        <name val="Calibri"/>
        <family val="2"/>
        <scheme val="minor"/>
      </font>
      <numFmt numFmtId="165" formatCode="#,##0.0"/>
      <fill>
        <patternFill patternType="solid">
          <fgColor indexed="64"/>
          <bgColor theme="7" tint="0.59999389629810485"/>
        </patternFill>
      </fill>
    </dxf>
    <dxf>
      <font>
        <b/>
        <i val="0"/>
        <strike val="0"/>
        <condense val="0"/>
        <extend val="0"/>
        <outline val="0"/>
        <shadow val="0"/>
        <u val="none"/>
        <vertAlign val="baseline"/>
        <sz val="11"/>
        <color auto="1"/>
        <name val="Calibri"/>
        <family val="2"/>
        <scheme val="minor"/>
      </font>
      <numFmt numFmtId="165" formatCode="#,##0.0"/>
      <fill>
        <patternFill patternType="solid">
          <fgColor indexed="64"/>
          <bgColor theme="7"/>
        </patternFill>
      </fill>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numFmt numFmtId="3" formatCode="#,##0"/>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numFmt numFmtId="165" formatCode="#,##0.0"/>
      <alignment horizontal="general" vertical="top" textRotation="0" wrapText="0" indent="0" justifyLastLine="0" shrinkToFit="0" readingOrder="0"/>
    </dxf>
    <dxf>
      <fill>
        <patternFill patternType="lightUp"/>
      </fill>
    </dxf>
    <dxf>
      <fill>
        <patternFill patternType="lightUp"/>
      </fill>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0"/>
        <name val="Calibri"/>
        <family val="2"/>
        <scheme val="minor"/>
      </font>
      <fill>
        <patternFill patternType="solid">
          <fgColor indexed="64"/>
          <bgColor theme="0"/>
        </patternFill>
      </fill>
    </dxf>
    <dxf>
      <font>
        <b/>
        <i val="0"/>
        <strike val="0"/>
        <condense val="0"/>
        <extend val="0"/>
        <outline val="0"/>
        <shadow val="0"/>
        <u val="none"/>
        <vertAlign val="baseline"/>
        <sz val="11"/>
        <color theme="0"/>
        <name val="Calibri"/>
        <family val="2"/>
        <scheme val="minor"/>
      </font>
      <fill>
        <patternFill patternType="solid">
          <fgColor indexed="64"/>
          <bgColor theme="0"/>
        </patternFill>
      </fill>
    </dxf>
    <dxf>
      <font>
        <b/>
        <i val="0"/>
        <strike val="0"/>
        <condense val="0"/>
        <extend val="0"/>
        <outline val="0"/>
        <shadow val="0"/>
        <u val="none"/>
        <vertAlign val="baseline"/>
        <sz val="11"/>
        <color theme="1"/>
        <name val="Calibri"/>
        <family val="2"/>
        <scheme val="minor"/>
      </font>
      <numFmt numFmtId="165" formatCode="#,##0.0"/>
      <fill>
        <patternFill patternType="solid">
          <fgColor indexed="64"/>
          <bgColor theme="7" tint="0.59999389629810485"/>
        </patternFill>
      </fill>
    </dxf>
    <dxf>
      <font>
        <b/>
        <i val="0"/>
        <strike val="0"/>
        <condense val="0"/>
        <extend val="0"/>
        <outline val="0"/>
        <shadow val="0"/>
        <u val="none"/>
        <vertAlign val="baseline"/>
        <sz val="11"/>
        <color theme="1"/>
        <name val="Calibri"/>
        <family val="2"/>
        <scheme val="minor"/>
      </font>
      <numFmt numFmtId="165" formatCode="#,##0.0"/>
      <fill>
        <patternFill patternType="solid">
          <fgColor indexed="64"/>
          <bgColor theme="7"/>
        </patternFill>
      </fill>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1"/>
        <name val="Calibri"/>
        <family val="2"/>
        <scheme val="minor"/>
      </fon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solid"/>
      </fill>
    </dxf>
    <dxf>
      <fill>
        <patternFill patternType="solid"/>
      </fill>
      <border>
        <left style="thin">
          <color theme="5"/>
        </left>
        <right style="thin">
          <color theme="5"/>
        </right>
        <top style="thin">
          <color theme="5"/>
        </top>
        <bottom style="thin">
          <color theme="5"/>
        </bottom>
      </border>
    </dxf>
    <dxf>
      <fill>
        <patternFill patternType="lightUp"/>
      </fill>
    </dxf>
    <dxf>
      <fill>
        <patternFill patternType="solid"/>
      </fill>
    </dxf>
    <dxf>
      <fill>
        <patternFill patternType="solid"/>
      </fill>
      <border>
        <left style="thin">
          <color theme="5"/>
        </left>
        <right style="thin">
          <color theme="5"/>
        </right>
        <top style="thin">
          <color theme="5"/>
        </top>
        <bottom style="thin">
          <color theme="5"/>
        </bottom>
      </border>
    </dxf>
    <dxf>
      <fill>
        <patternFill patternType="lightUp"/>
      </fill>
    </dxf>
    <dxf>
      <fill>
        <patternFill patternType="solid"/>
      </fill>
    </dxf>
    <dxf>
      <fill>
        <patternFill patternType="solid"/>
      </fill>
      <border>
        <left style="thin">
          <color theme="5"/>
        </left>
        <right style="thin">
          <color theme="5"/>
        </right>
        <top style="thin">
          <color theme="5"/>
        </top>
        <bottom style="thin">
          <color theme="5"/>
        </bottom>
      </border>
    </dxf>
    <dxf>
      <fill>
        <patternFill patternType="lightUp"/>
      </fill>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fill>
        <patternFill patternType="lightUp">
          <fgColor indexed="64"/>
          <bgColor indexed="65"/>
        </patternFill>
      </fill>
      <alignment horizontal="general" vertical="top" textRotation="0" indent="0" justifyLastLine="0" shrinkToFit="0" readingOrder="0"/>
      <protection locked="0" hidden="0"/>
    </dxf>
    <dxf>
      <font>
        <b/>
        <i val="0"/>
        <strike val="0"/>
        <condense val="0"/>
        <extend val="0"/>
        <outline val="0"/>
        <shadow val="0"/>
        <u val="none"/>
        <vertAlign val="baseline"/>
        <sz val="11"/>
        <color theme="0"/>
        <name val="Calibri"/>
        <family val="2"/>
        <scheme val="minor"/>
      </font>
      <fill>
        <patternFill patternType="solid">
          <fgColor indexed="64"/>
          <bgColor theme="0"/>
        </patternFill>
      </fill>
    </dxf>
    <dxf>
      <font>
        <strike val="0"/>
        <outline val="0"/>
        <shadow val="0"/>
        <u val="none"/>
        <vertAlign val="baseline"/>
        <color theme="0"/>
        <name val="Calibri"/>
        <family val="2"/>
        <scheme val="minor"/>
      </font>
      <fill>
        <patternFill patternType="solid">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5" formatCode="#,##0.0"/>
      <fill>
        <patternFill patternType="solid">
          <fgColor indexed="64"/>
          <bgColor theme="7" tint="0.59999389629810485"/>
        </patternFill>
      </fill>
    </dxf>
    <dxf>
      <font>
        <b/>
        <strike val="0"/>
        <outline val="0"/>
        <shadow val="0"/>
        <u val="none"/>
        <vertAlign val="baseline"/>
        <sz val="11"/>
        <color theme="0"/>
        <name val="Calibri"/>
        <family val="2"/>
        <scheme val="minor"/>
      </font>
      <numFmt numFmtId="165" formatCode="#,##0.0"/>
      <fill>
        <patternFill patternType="solid">
          <fgColor indexed="64"/>
          <bgColor theme="0"/>
        </patternFill>
      </fill>
      <alignment horizontal="general" vertical="top" textRotation="0" wrapText="0" indent="0" justifyLastLine="0" shrinkToFit="0" readingOrder="0"/>
      <protection locked="0" hidden="0"/>
    </dxf>
    <dxf>
      <font>
        <b/>
        <i val="0"/>
        <strike val="0"/>
        <condense val="0"/>
        <extend val="0"/>
        <outline val="0"/>
        <shadow val="0"/>
        <u val="none"/>
        <vertAlign val="baseline"/>
        <sz val="11"/>
        <color theme="1"/>
        <name val="Calibri"/>
        <family val="2"/>
        <scheme val="minor"/>
      </font>
      <numFmt numFmtId="165" formatCode="#,##0.0"/>
      <fill>
        <patternFill patternType="solid">
          <fgColor indexed="64"/>
          <bgColor theme="7"/>
        </patternFill>
      </fill>
    </dxf>
    <dxf>
      <font>
        <b/>
      </font>
      <numFmt numFmtId="165" formatCode="#,##0.0"/>
      <fill>
        <patternFill patternType="lightUp">
          <fgColor indexed="64"/>
          <bgColor indexed="65"/>
        </patternFill>
      </fill>
      <alignment horizontal="general" vertical="top" textRotation="0" indent="0" justifyLastLine="0" shrinkToFit="0" readingOrder="0"/>
      <protection locked="0" hidden="0"/>
    </dxf>
    <dxf>
      <font>
        <b/>
        <i val="0"/>
        <strike val="0"/>
        <condense val="0"/>
        <extend val="0"/>
        <outline val="0"/>
        <shadow val="0"/>
        <u val="none"/>
        <vertAlign val="baseline"/>
        <sz val="11"/>
        <color theme="0"/>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dxf>
    <dxf>
      <numFmt numFmtId="0" formatCode="Genera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dxf>
    <dxf>
      <numFmt numFmtId="3" formatCode="#,##0"/>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0"/>
        <name val="Calibri"/>
        <family val="2"/>
        <scheme val="minor"/>
      </font>
      <fill>
        <patternFill patternType="solid">
          <fgColor indexed="64"/>
          <bgColor indexed="65"/>
        </patternFill>
      </fill>
    </dxf>
    <dxf>
      <font>
        <b/>
        <i val="0"/>
        <strike val="0"/>
        <condense val="0"/>
        <extend val="0"/>
        <outline val="0"/>
        <shadow val="0"/>
        <u val="none"/>
        <vertAlign val="baseline"/>
        <sz val="11"/>
        <color theme="1"/>
        <name val="Calibri"/>
        <family val="2"/>
        <scheme val="minor"/>
      </font>
      <numFmt numFmtId="165" formatCode="#,##0.0"/>
      <fill>
        <patternFill patternType="solid">
          <fgColor indexed="64"/>
          <bgColor theme="7" tint="0.59999389629810485"/>
        </patternFill>
      </fill>
    </dxf>
    <dxf>
      <font>
        <b/>
        <i val="0"/>
        <strike val="0"/>
        <condense val="0"/>
        <extend val="0"/>
        <outline val="0"/>
        <shadow val="0"/>
        <u val="none"/>
        <vertAlign val="baseline"/>
        <sz val="11"/>
        <color theme="1"/>
        <name val="Calibri"/>
        <family val="2"/>
        <scheme val="minor"/>
      </font>
      <numFmt numFmtId="165" formatCode="#,##0.0"/>
      <fill>
        <patternFill patternType="solid">
          <fgColor indexed="64"/>
          <bgColor theme="7"/>
        </patternFill>
      </fill>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1"/>
        <name val="Calibri"/>
        <family val="2"/>
        <scheme val="minor"/>
      </font>
    </dxf>
    <dxf>
      <font>
        <b/>
        <strike val="0"/>
        <outline val="0"/>
        <shadow val="0"/>
        <u val="none"/>
        <vertAlign val="baseline"/>
        <sz val="11"/>
        <color theme="0"/>
        <name val="Calibri"/>
        <family val="2"/>
        <scheme val="minor"/>
      </font>
      <numFmt numFmtId="165" formatCode="#,##0.0"/>
      <fill>
        <patternFill patternType="solid">
          <fgColor indexed="64"/>
          <bgColor theme="0"/>
        </patternFill>
      </fill>
      <alignment horizontal="general" vertical="top" textRotation="0" wrapText="0" indent="0" justifyLastLine="0" shrinkToFit="0" readingOrder="0"/>
      <protection locked="0" hidden="0"/>
    </dxf>
    <dxf>
      <font>
        <b/>
        <i val="0"/>
        <strike val="0"/>
        <condense val="0"/>
        <extend val="0"/>
        <outline val="0"/>
        <shadow val="0"/>
        <u val="none"/>
        <vertAlign val="baseline"/>
        <sz val="11"/>
        <color theme="1"/>
        <name val="Calibri"/>
        <family val="2"/>
        <scheme val="minor"/>
      </font>
      <numFmt numFmtId="165" formatCode="#,##0.0"/>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0"/>
        <name val="Calibri"/>
        <family val="2"/>
        <scheme val="minor"/>
      </font>
      <fill>
        <patternFill patternType="solid">
          <fgColor indexed="64"/>
          <bgColor indexed="65"/>
        </patternFill>
      </fill>
    </dxf>
    <dxf>
      <font>
        <b/>
        <i val="0"/>
        <strike val="0"/>
        <condense val="0"/>
        <extend val="0"/>
        <outline val="0"/>
        <shadow val="0"/>
        <u val="none"/>
        <vertAlign val="baseline"/>
        <sz val="11"/>
        <color theme="1"/>
        <name val="Calibri"/>
        <family val="2"/>
        <scheme val="minor"/>
      </font>
      <numFmt numFmtId="165" formatCode="#,##0.0"/>
      <fill>
        <patternFill patternType="solid">
          <fgColor indexed="64"/>
          <bgColor theme="7" tint="0.59999389629810485"/>
        </patternFill>
      </fill>
    </dxf>
    <dxf>
      <font>
        <b/>
        <i val="0"/>
        <strike val="0"/>
        <condense val="0"/>
        <extend val="0"/>
        <outline val="0"/>
        <shadow val="0"/>
        <u val="none"/>
        <vertAlign val="baseline"/>
        <sz val="11"/>
        <color theme="1"/>
        <name val="Calibri"/>
        <family val="2"/>
        <scheme val="minor"/>
      </font>
      <numFmt numFmtId="165" formatCode="#,##0.0"/>
      <fill>
        <patternFill patternType="solid">
          <fgColor indexed="64"/>
          <bgColor theme="7"/>
        </patternFill>
      </fill>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auto="1"/>
        <name val="Calibri"/>
        <family val="2"/>
        <scheme val="minor"/>
      </font>
      <fill>
        <patternFill patternType="solid">
          <fgColor indexed="64"/>
          <bgColor indexed="65"/>
        </patternFill>
      </fill>
    </dxf>
    <dxf>
      <font>
        <b/>
        <i val="0"/>
        <strike val="0"/>
        <condense val="0"/>
        <extend val="0"/>
        <outline val="0"/>
        <shadow val="0"/>
        <u val="none"/>
        <vertAlign val="baseline"/>
        <sz val="11"/>
        <color auto="1"/>
        <name val="Calibri"/>
        <family val="2"/>
        <scheme val="minor"/>
      </font>
      <numFmt numFmtId="165" formatCode="#,##0.0"/>
      <fill>
        <patternFill patternType="solid">
          <fgColor indexed="64"/>
          <bgColor theme="7" tint="0.59999389629810485"/>
        </patternFill>
      </fill>
    </dxf>
    <dxf>
      <font>
        <b/>
        <i val="0"/>
        <strike val="0"/>
        <condense val="0"/>
        <extend val="0"/>
        <outline val="0"/>
        <shadow val="0"/>
        <u val="none"/>
        <vertAlign val="baseline"/>
        <sz val="11"/>
        <color auto="1"/>
        <name val="Calibri"/>
        <family val="2"/>
        <scheme val="minor"/>
      </font>
      <numFmt numFmtId="165" formatCode="#,##0.0"/>
      <fill>
        <patternFill patternType="solid">
          <fgColor indexed="64"/>
          <bgColor theme="7"/>
        </patternFill>
      </fill>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1"/>
        <color theme="1"/>
        <name val="Calibri"/>
        <family val="2"/>
        <scheme val="minor"/>
      </font>
    </dxf>
    <dxf>
      <font>
        <b/>
        <strike val="0"/>
        <outline val="0"/>
        <shadow val="0"/>
        <u val="none"/>
        <vertAlign val="baseline"/>
        <sz val="11"/>
        <color theme="0"/>
        <name val="Calibri"/>
        <family val="2"/>
        <scheme val="minor"/>
      </font>
      <numFmt numFmtId="165" formatCode="#,##0.0"/>
      <fill>
        <patternFill patternType="solid">
          <fgColor indexed="64"/>
          <bgColor indexed="65"/>
        </patternFill>
      </fill>
      <alignment horizontal="general" vertical="top" textRotation="0" wrapText="0" indent="0" justifyLastLine="0" shrinkToFit="0" readingOrder="0"/>
      <protection locked="0" hidden="0"/>
    </dxf>
    <dxf>
      <font>
        <b/>
        <i val="0"/>
        <strike val="0"/>
        <condense val="0"/>
        <extend val="0"/>
        <outline val="0"/>
        <shadow val="0"/>
        <u val="none"/>
        <vertAlign val="baseline"/>
        <sz val="11"/>
        <color theme="1"/>
        <name val="Calibri"/>
        <family val="2"/>
        <scheme val="minor"/>
      </font>
      <numFmt numFmtId="165" formatCode="#,##0.0"/>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wrapText="0" indent="0" justifyLastLine="0" shrinkToFit="0" readingOrder="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wrapText="0" indent="0" justifyLastLine="0" shrinkToFit="0" readingOrder="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wrapText="0" indent="0" justifyLastLine="0" shrinkToFit="0" readingOrder="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wrapText="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indent="0" justifyLastLine="0" shrinkToFit="0" readingOrder="0"/>
      <protection locked="0" hidden="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indent="0" justifyLastLine="0" shrinkToFit="0" readingOrder="0"/>
      <protection locked="0" hidden="0"/>
    </dxf>
    <dxf>
      <numFmt numFmtId="0" formatCode="General"/>
      <alignment horizontal="general" vertical="top" textRotation="0" wrapText="0" indent="0" justifyLastLine="0" shrinkToFit="0" readingOrder="0"/>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numFmt numFmtId="165" formatCode="#,##0.0"/>
      <fill>
        <patternFill patternType="solid">
          <fgColor indexed="64"/>
          <bgColor indexed="65"/>
        </patternFill>
      </fill>
      <alignment horizontal="general" vertical="top" textRotation="0" wrapText="0" indent="0" justifyLastLine="0" shrinkToFit="0" readingOrder="0"/>
    </dxf>
    <dxf>
      <font>
        <b/>
      </font>
      <numFmt numFmtId="165" formatCode="#,##0.0"/>
      <alignment horizontal="general" vertical="top" textRotation="0" indent="0" justifyLastLine="0" shrinkToFit="0" readingOrder="0"/>
      <protection locked="0"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numFmt numFmtId="0" formatCode="General"/>
      <alignment horizontal="general" vertical="top" textRotation="0" wrapText="1" indent="0" justifyLastLine="0" shrinkToFit="0" readingOrder="0"/>
      <protection locked="0" hidden="0"/>
    </dxf>
    <dxf>
      <numFmt numFmtId="3" formatCode="#,##0"/>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numFmt numFmtId="0" formatCode="General"/>
      <alignment horizontal="general" vertical="top" textRotation="0" wrapText="1" indent="0" justifyLastLine="0" shrinkToFit="0" readingOrder="0"/>
      <protection locked="0" hidden="0"/>
    </dxf>
    <dxf>
      <font>
        <color theme="0"/>
      </font>
      <fill>
        <patternFill>
          <bgColor theme="0"/>
        </patternFill>
      </fill>
      <border>
        <left/>
        <right/>
        <top/>
        <bottom/>
        <vertical/>
        <horizontal/>
      </border>
    </dxf>
    <dxf>
      <font>
        <color theme="0"/>
      </font>
      <fill>
        <patternFill patternType="none">
          <bgColor auto="1"/>
        </patternFill>
      </fill>
      <border>
        <left/>
        <right/>
        <top/>
        <bottom/>
        <vertical/>
        <horizontal/>
      </border>
    </dxf>
    <dxf>
      <font>
        <color theme="0"/>
      </font>
      <fill>
        <patternFill>
          <bgColor theme="0"/>
        </patternFill>
      </fill>
      <border>
        <left/>
        <right/>
        <top/>
        <bottom/>
        <vertical/>
        <horizontal/>
      </border>
    </dxf>
    <dxf>
      <font>
        <color theme="0"/>
      </font>
      <fill>
        <patternFill patternType="none">
          <bgColor auto="1"/>
        </patternFill>
      </fill>
      <border>
        <left/>
        <right/>
        <top/>
        <bottom/>
        <vertical/>
        <horizontal/>
      </border>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theme="0"/>
        <name val="Calibri"/>
        <family val="2"/>
        <scheme val="minor"/>
      </font>
      <alignment horizontal="general" vertical="top"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numFmt numFmtId="0" formatCode="General"/>
      <fill>
        <patternFill patternType="none">
          <fgColor rgb="FF000000"/>
          <bgColor auto="1"/>
        </patternFill>
      </fill>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protection locked="1" hidden="0"/>
    </dxf>
    <dxf>
      <border outline="0">
        <left style="thin">
          <color theme="0"/>
        </left>
        <bottom style="thin">
          <color theme="0"/>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theme="0"/>
        <name val="Calibri"/>
        <family val="2"/>
        <scheme val="minor"/>
      </font>
      <fill>
        <patternFill patternType="none">
          <fgColor theme="5"/>
          <bgColor auto="1"/>
        </patternFill>
      </fill>
      <alignment horizontal="general" vertical="top"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numFmt numFmtId="0" formatCode="General"/>
      <fill>
        <patternFill patternType="none">
          <fgColor rgb="FF000000"/>
          <bgColor auto="1"/>
        </patternFill>
      </fill>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protection locked="1" hidden="0"/>
    </dxf>
    <dxf>
      <border outline="0">
        <left style="thin">
          <color theme="0"/>
        </left>
        <bottom style="thin">
          <color theme="0"/>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theme="0"/>
        <name val="Calibri"/>
        <family val="2"/>
        <scheme val="minor"/>
      </font>
      <fill>
        <patternFill patternType="none">
          <fgColor theme="5"/>
          <bgColor auto="1"/>
        </patternFill>
      </fill>
      <alignment horizontal="general" vertical="top"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protection locked="0" hidden="0"/>
    </dxf>
    <dxf>
      <font>
        <b/>
        <i val="0"/>
        <strike val="0"/>
        <condense val="0"/>
        <extend val="0"/>
        <outline val="0"/>
        <shadow val="0"/>
        <u val="none"/>
        <vertAlign val="baseline"/>
        <sz val="11"/>
        <color auto="1"/>
        <name val="Calibri"/>
        <family val="2"/>
        <scheme val="minor"/>
      </font>
      <protection locked="0"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protection locked="1" hidden="0"/>
    </dxf>
    <dxf>
      <border outline="0">
        <left style="thin">
          <color theme="0"/>
        </left>
        <bottom style="thin">
          <color theme="0"/>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theme="0"/>
        <name val="Calibri"/>
        <family val="2"/>
        <scheme val="minor"/>
      </font>
      <fill>
        <patternFill patternType="none">
          <fgColor theme="5"/>
          <bgColor auto="1"/>
        </patternFill>
      </fill>
      <alignment horizontal="general" vertical="top"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protection locked="0"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protection locked="1" hidden="0"/>
    </dxf>
    <dxf>
      <border outline="0">
        <left style="thin">
          <color theme="0"/>
        </left>
        <bottom style="thin">
          <color theme="0"/>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theme="0"/>
        <name val="Calibri"/>
        <family val="2"/>
        <scheme val="minor"/>
      </font>
      <fill>
        <patternFill patternType="none">
          <fgColor theme="5"/>
          <bgColor auto="1"/>
        </patternFill>
      </fill>
      <alignment horizontal="general" vertical="top"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protection locked="0" hidden="0"/>
    </dxf>
    <dxf>
      <font>
        <b/>
        <i val="0"/>
        <strike val="0"/>
        <condense val="0"/>
        <extend val="0"/>
        <outline val="0"/>
        <shadow val="0"/>
        <u val="none"/>
        <vertAlign val="baseline"/>
        <sz val="11"/>
        <color auto="1"/>
        <name val="Calibri"/>
        <family val="2"/>
        <scheme val="minor"/>
      </font>
      <protection locked="0"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protection locked="1" hidden="0"/>
    </dxf>
    <dxf>
      <border outline="0">
        <left style="thin">
          <color theme="0"/>
        </left>
        <bottom style="thin">
          <color theme="0"/>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theme="0"/>
        <name val="Calibri"/>
        <family val="2"/>
        <scheme val="minor"/>
      </font>
      <fill>
        <patternFill patternType="none">
          <fgColor theme="5"/>
          <bgColor auto="1"/>
        </patternFill>
      </fill>
      <alignment horizontal="general" vertical="top"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protection locked="0" hidden="0"/>
    </dxf>
    <dxf>
      <font>
        <b/>
        <i val="0"/>
        <strike val="0"/>
        <condense val="0"/>
        <extend val="0"/>
        <outline val="0"/>
        <shadow val="0"/>
        <u val="none"/>
        <vertAlign val="baseline"/>
        <sz val="11"/>
        <color auto="1"/>
        <name val="Calibri"/>
        <family val="2"/>
        <scheme val="minor"/>
      </font>
      <protection locked="0"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protection locked="1" hidden="0"/>
    </dxf>
    <dxf>
      <border outline="0">
        <left style="thin">
          <color theme="0"/>
        </left>
        <bottom style="thin">
          <color theme="0"/>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theme="0"/>
        <name val="Calibri"/>
        <family val="2"/>
        <scheme val="minor"/>
      </font>
      <fill>
        <patternFill patternType="none">
          <fgColor theme="5"/>
          <bgColor auto="1"/>
        </patternFill>
      </fill>
      <alignment horizontal="general" vertical="top"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protection locked="1" hidden="0"/>
    </dxf>
    <dxf>
      <border outline="0">
        <left style="thin">
          <color theme="0"/>
        </left>
        <bottom style="thin">
          <color theme="0"/>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theme="0"/>
        <name val="Calibri"/>
        <family val="2"/>
        <scheme val="minor"/>
      </font>
      <fill>
        <patternFill patternType="none">
          <fgColor theme="5"/>
          <bgColor auto="1"/>
        </patternFill>
      </fill>
      <alignment horizontal="general" vertical="top"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protection locked="0" hidden="0"/>
    </dxf>
    <dxf>
      <font>
        <b/>
        <i val="0"/>
        <strike val="0"/>
        <condense val="0"/>
        <extend val="0"/>
        <outline val="0"/>
        <shadow val="0"/>
        <u val="none"/>
        <vertAlign val="baseline"/>
        <sz val="11"/>
        <color auto="1"/>
        <name val="Calibri"/>
        <family val="2"/>
        <scheme val="minor"/>
      </font>
      <protection locked="0" hidden="0"/>
    </dxf>
    <dxf>
      <font>
        <b/>
        <i val="0"/>
        <strike val="0"/>
        <condense val="0"/>
        <extend val="0"/>
        <outline val="0"/>
        <shadow val="0"/>
        <u val="none"/>
        <vertAlign val="baseline"/>
        <sz val="11"/>
        <color auto="1"/>
        <name val="Calibri"/>
        <family val="2"/>
        <scheme val="minor"/>
      </font>
      <protection locked="0" hidden="0"/>
    </dxf>
    <dxf>
      <font>
        <b/>
        <i val="0"/>
        <strike val="0"/>
        <condense val="0"/>
        <extend val="0"/>
        <outline val="0"/>
        <shadow val="0"/>
        <u val="none"/>
        <vertAlign val="baseline"/>
        <sz val="11"/>
        <color auto="1"/>
        <name val="Calibri"/>
        <family val="2"/>
        <scheme val="minor"/>
      </font>
      <protection locked="0" hidden="0"/>
    </dxf>
    <dxf>
      <font>
        <b/>
        <i val="0"/>
        <strike val="0"/>
        <condense val="0"/>
        <extend val="0"/>
        <outline val="0"/>
        <shadow val="0"/>
        <u val="none"/>
        <vertAlign val="baseline"/>
        <sz val="11"/>
        <color auto="1"/>
        <name val="Calibri"/>
        <family val="2"/>
        <scheme val="minor"/>
      </font>
      <protection locked="0" hidden="0"/>
    </dxf>
    <dxf>
      <font>
        <b/>
        <i val="0"/>
        <strike val="0"/>
        <condense val="0"/>
        <extend val="0"/>
        <outline val="0"/>
        <shadow val="0"/>
        <u val="none"/>
        <vertAlign val="baseline"/>
        <sz val="11"/>
        <color auto="1"/>
        <name val="Calibri"/>
        <family val="2"/>
        <scheme val="minor"/>
      </font>
      <protection locked="0" hidden="0"/>
    </dxf>
    <dxf>
      <font>
        <b/>
        <i val="0"/>
        <strike val="0"/>
        <condense val="0"/>
        <extend val="0"/>
        <outline val="0"/>
        <shadow val="0"/>
        <u val="none"/>
        <vertAlign val="baseline"/>
        <sz val="11"/>
        <color auto="1"/>
        <name val="Calibri"/>
        <family val="2"/>
        <scheme val="minor"/>
      </font>
      <protection locked="0" hidden="0"/>
    </dxf>
    <dxf>
      <font>
        <b/>
        <i val="0"/>
        <strike val="0"/>
        <condense val="0"/>
        <extend val="0"/>
        <outline val="0"/>
        <shadow val="0"/>
        <u val="none"/>
        <vertAlign val="baseline"/>
        <sz val="11"/>
        <color auto="1"/>
        <name val="Calibri"/>
        <family val="2"/>
        <scheme val="minor"/>
      </font>
      <protection locked="0"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strike val="0"/>
        <outline val="0"/>
        <shadow val="0"/>
        <color auto="1"/>
        <name val="Calibri"/>
        <family val="2"/>
        <scheme val="minor"/>
      </font>
      <numFmt numFmtId="3" formatCode="#,##0"/>
      <protection locked="0" hidden="0"/>
    </dxf>
    <dxf>
      <font>
        <strike val="0"/>
        <outline val="0"/>
        <shadow val="0"/>
        <color auto="1"/>
        <name val="Calibri"/>
        <family val="2"/>
        <scheme val="minor"/>
      </font>
      <numFmt numFmtId="3" formatCode="#,##0"/>
      <protection locked="0" hidden="0"/>
    </dxf>
    <dxf>
      <font>
        <strike val="0"/>
        <outline val="0"/>
        <shadow val="0"/>
        <color auto="1"/>
        <name val="Calibri"/>
        <family val="2"/>
        <scheme val="minor"/>
      </font>
      <numFmt numFmtId="3" formatCode="#,##0"/>
      <protection locked="0" hidden="0"/>
    </dxf>
    <dxf>
      <font>
        <strike val="0"/>
        <outline val="0"/>
        <shadow val="0"/>
        <color auto="1"/>
        <name val="Calibri"/>
        <family val="2"/>
        <scheme val="minor"/>
      </font>
      <numFmt numFmtId="3" formatCode="#,##0"/>
      <protection locked="0" hidden="0"/>
    </dxf>
    <dxf>
      <font>
        <strike val="0"/>
        <outline val="0"/>
        <shadow val="0"/>
        <color auto="1"/>
        <name val="Calibri"/>
        <family val="2"/>
        <scheme val="minor"/>
      </font>
      <numFmt numFmtId="3" formatCode="#,##0"/>
      <protection locked="0" hidden="0"/>
    </dxf>
    <dxf>
      <font>
        <strike val="0"/>
        <outline val="0"/>
        <shadow val="0"/>
        <color auto="1"/>
        <name val="Calibri"/>
        <family val="2"/>
        <scheme val="minor"/>
      </font>
      <numFmt numFmtId="3" formatCode="#,##0"/>
      <protection locked="0" hidden="0"/>
    </dxf>
    <dxf>
      <font>
        <strike val="0"/>
        <outline val="0"/>
        <shadow val="0"/>
        <color auto="1"/>
        <name val="Calibri"/>
        <family val="2"/>
        <scheme val="minor"/>
      </font>
      <numFmt numFmtId="3" formatCode="#,##0"/>
      <protection locked="0" hidden="0"/>
    </dxf>
    <dxf>
      <font>
        <strike val="0"/>
        <outline val="0"/>
        <shadow val="0"/>
        <color auto="1"/>
        <name val="Calibri"/>
        <family val="2"/>
        <scheme val="minor"/>
      </font>
      <numFmt numFmtId="3" formatCode="#,##0"/>
      <protection locked="0" hidden="0"/>
    </dxf>
    <dxf>
      <font>
        <strike val="0"/>
        <outline val="0"/>
        <shadow val="0"/>
        <color auto="1"/>
        <name val="Calibri"/>
        <family val="2"/>
        <scheme val="minor"/>
      </font>
      <numFmt numFmtId="3" formatCode="#,##0"/>
      <protection locked="0" hidden="0"/>
    </dxf>
    <dxf>
      <font>
        <b/>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protection locked="1" hidden="0"/>
    </dxf>
    <dxf>
      <border outline="0">
        <left style="thin">
          <color theme="0"/>
        </left>
        <bottom style="thin">
          <color theme="0"/>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theme="0"/>
        <name val="Calibri"/>
        <family val="2"/>
        <scheme val="minor"/>
      </font>
      <fill>
        <patternFill patternType="none">
          <fgColor theme="5"/>
          <bgColor auto="1"/>
        </patternFill>
      </fill>
      <alignment horizontal="general" vertical="top"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protection locked="1" hidden="0"/>
    </dxf>
    <dxf>
      <border outline="0">
        <left style="thin">
          <color theme="0"/>
        </left>
        <bottom style="thin">
          <color theme="0"/>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theme="0"/>
        <name val="Calibri"/>
        <family val="2"/>
        <scheme val="minor"/>
      </font>
      <fill>
        <patternFill patternType="none">
          <fgColor theme="5"/>
          <bgColor auto="1"/>
        </patternFill>
      </fill>
      <alignment horizontal="general" vertical="top"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protection locked="1" hidden="0"/>
    </dxf>
    <dxf>
      <border outline="0">
        <left style="thin">
          <color theme="0"/>
        </left>
        <bottom style="thin">
          <color theme="0"/>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theme="0"/>
        <name val="Calibri"/>
        <family val="2"/>
        <scheme val="minor"/>
      </font>
      <fill>
        <patternFill patternType="none">
          <fgColor theme="5"/>
          <bgColor auto="1"/>
        </patternFill>
      </fill>
      <alignment horizontal="general" vertical="top"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strike val="0"/>
        <outline val="0"/>
        <shadow val="0"/>
        <color auto="1"/>
        <name val="Calibri"/>
        <family val="2"/>
        <scheme val="minor"/>
      </font>
      <protection locked="0" hidden="0"/>
    </dxf>
    <dxf>
      <font>
        <b/>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protection locked="1" hidden="0"/>
    </dxf>
    <dxf>
      <border outline="0">
        <left style="thin">
          <color theme="0"/>
        </left>
        <bottom style="thin">
          <color theme="0"/>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1"/>
        <color theme="0"/>
        <name val="Calibri"/>
        <family val="2"/>
        <scheme val="minor"/>
      </font>
      <fill>
        <patternFill patternType="none">
          <fgColor theme="5"/>
          <bgColor auto="1"/>
        </patternFill>
      </fill>
      <alignment horizontal="general" vertical="top" textRotation="0" wrapText="1" indent="0" justifyLastLine="0" shrinkToFit="0" readingOrder="0"/>
      <border diagonalUp="0" diagonalDown="0" outline="0">
        <left style="thin">
          <color theme="0"/>
        </left>
        <right style="thin">
          <color theme="0"/>
        </right>
        <top/>
        <bottom/>
      </border>
      <protection locked="1" hidden="0"/>
    </dxf>
    <dxf>
      <font>
        <strike val="0"/>
        <outline val="0"/>
        <shadow val="0"/>
        <color auto="1"/>
        <name val="Calibri"/>
        <family val="2"/>
        <scheme val="minor"/>
      </font>
      <numFmt numFmtId="0" formatCode="General"/>
      <fill>
        <patternFill patternType="none">
          <fgColor indexed="64"/>
          <bgColor auto="1"/>
        </patternFill>
      </fill>
      <protection locked="1" hidden="0"/>
    </dxf>
    <dxf>
      <font>
        <strike val="0"/>
        <outline val="0"/>
        <shadow val="0"/>
        <color auto="1"/>
        <name val="Calibri"/>
        <family val="2"/>
        <scheme val="minor"/>
      </font>
      <numFmt numFmtId="0" formatCode="General"/>
      <fill>
        <patternFill patternType="none">
          <fgColor indexed="64"/>
          <bgColor auto="1"/>
        </patternFill>
      </fill>
      <protection locked="1" hidden="0"/>
    </dxf>
    <dxf>
      <font>
        <strike val="0"/>
        <outline val="0"/>
        <shadow val="0"/>
        <color auto="1"/>
        <name val="Calibri"/>
        <family val="2"/>
        <scheme val="minor"/>
      </font>
      <numFmt numFmtId="0" formatCode="General"/>
      <fill>
        <patternFill patternType="none">
          <fgColor indexed="64"/>
          <bgColor auto="1"/>
        </patternFill>
      </fill>
      <protection locked="1" hidden="0"/>
    </dxf>
    <dxf>
      <font>
        <strike val="0"/>
        <outline val="0"/>
        <shadow val="0"/>
        <color auto="1"/>
        <name val="Calibri"/>
        <family val="2"/>
        <scheme val="minor"/>
      </font>
      <numFmt numFmtId="0" formatCode="General"/>
      <fill>
        <patternFill patternType="none">
          <fgColor indexed="64"/>
          <bgColor auto="1"/>
        </patternFill>
      </fill>
      <protection locked="1" hidden="0"/>
    </dxf>
    <dxf>
      <font>
        <strike val="0"/>
        <outline val="0"/>
        <shadow val="0"/>
        <color auto="1"/>
        <name val="Calibri"/>
        <family val="2"/>
        <scheme val="minor"/>
      </font>
      <fill>
        <patternFill patternType="none">
          <fgColor indexed="64"/>
          <bgColor auto="1"/>
        </patternFill>
      </fill>
      <protection locked="1" hidden="0"/>
    </dxf>
    <dxf>
      <font>
        <strike val="0"/>
        <outline val="0"/>
        <shadow val="0"/>
        <color auto="1"/>
        <name val="Calibri"/>
        <family val="2"/>
        <scheme val="minor"/>
      </font>
      <fill>
        <patternFill patternType="none">
          <fgColor indexed="64"/>
          <bgColor auto="1"/>
        </patternFill>
      </fill>
      <protection locked="1" hidden="0"/>
    </dxf>
    <dxf>
      <font>
        <strike val="0"/>
        <outline val="0"/>
        <shadow val="0"/>
        <color auto="1"/>
        <name val="Calibri"/>
        <family val="2"/>
        <scheme val="minor"/>
      </font>
      <fill>
        <patternFill patternType="none">
          <fgColor indexed="64"/>
          <bgColor auto="1"/>
        </patternFill>
      </fill>
      <protection locked="1" hidden="0"/>
    </dxf>
    <dxf>
      <font>
        <strike val="0"/>
        <outline val="0"/>
        <shadow val="0"/>
        <color auto="1"/>
        <name val="Calibri"/>
        <family val="2"/>
        <scheme val="minor"/>
      </font>
      <fill>
        <patternFill patternType="none">
          <fgColor indexed="64"/>
          <bgColor auto="1"/>
        </patternFill>
      </fill>
      <protection locked="1" hidden="0"/>
    </dxf>
    <dxf>
      <font>
        <strike val="0"/>
        <outline val="0"/>
        <shadow val="0"/>
        <color auto="1"/>
        <name val="Calibri"/>
        <family val="2"/>
        <scheme val="minor"/>
      </font>
      <fill>
        <patternFill patternType="none">
          <fgColor indexed="64"/>
          <bgColor auto="1"/>
        </patternFill>
      </fill>
      <protection locked="1" hidden="0"/>
    </dxf>
    <dxf>
      <font>
        <strike val="0"/>
        <outline val="0"/>
        <shadow val="0"/>
        <color auto="1"/>
        <name val="Calibri"/>
        <family val="2"/>
        <scheme val="minor"/>
      </font>
      <fill>
        <patternFill patternType="none">
          <fgColor indexed="64"/>
          <bgColor auto="1"/>
        </patternFill>
      </fill>
      <protection locked="1" hidden="0"/>
    </dxf>
    <dxf>
      <font>
        <b/>
        <strike val="0"/>
        <outline val="0"/>
        <shadow val="0"/>
        <color auto="1"/>
        <name val="Calibri"/>
        <family val="2"/>
        <scheme val="minor"/>
      </font>
      <fill>
        <patternFill patternType="none">
          <fgColor indexed="64"/>
          <bgColor auto="1"/>
        </patternFill>
      </fill>
      <protection locked="1" hidden="0"/>
    </dxf>
    <dxf>
      <font>
        <b/>
        <strike val="0"/>
        <outline val="0"/>
        <shadow val="0"/>
        <color auto="1"/>
        <name val="Calibri"/>
        <family val="2"/>
        <scheme val="minor"/>
      </font>
      <fill>
        <patternFill patternType="none">
          <fgColor indexed="64"/>
          <bgColor auto="1"/>
        </patternFill>
      </fill>
      <protection locked="1" hidden="0"/>
    </dxf>
    <dxf>
      <font>
        <b/>
        <strike val="0"/>
        <outline val="0"/>
        <shadow val="0"/>
        <color auto="1"/>
        <name val="Calibri"/>
        <family val="2"/>
        <scheme val="minor"/>
      </font>
      <fill>
        <patternFill patternType="none">
          <fgColor indexed="64"/>
          <bgColor auto="1"/>
        </patternFill>
      </fill>
      <protection locked="1" hidden="0"/>
    </dxf>
    <dxf>
      <font>
        <strike val="0"/>
        <outline val="0"/>
        <shadow val="0"/>
        <color auto="1"/>
        <name val="Calibri"/>
        <family val="2"/>
        <scheme val="minor"/>
      </font>
      <fill>
        <patternFill patternType="none">
          <fgColor indexed="64"/>
          <bgColor auto="1"/>
        </patternFill>
      </fill>
      <protection locked="1" hidden="0"/>
    </dxf>
    <dxf>
      <font>
        <strike val="0"/>
        <outline val="0"/>
        <shadow val="0"/>
        <color auto="1"/>
        <name val="Calibri"/>
        <family val="2"/>
        <scheme val="minor"/>
      </font>
      <fill>
        <patternFill patternType="none">
          <fgColor indexed="64"/>
          <bgColor auto="1"/>
        </patternFill>
      </fill>
      <protection locked="1" hidden="0"/>
    </dxf>
    <dxf>
      <font>
        <b/>
        <strike val="0"/>
        <outline val="0"/>
        <shadow val="0"/>
        <color auto="1"/>
        <name val="Calibri"/>
        <family val="2"/>
        <scheme val="minor"/>
      </font>
      <numFmt numFmtId="0" formatCode="General"/>
      <fill>
        <patternFill patternType="none">
          <fgColor rgb="FF000000"/>
          <bgColor auto="1"/>
        </patternFill>
      </fill>
      <protection locked="1" hidden="0"/>
    </dxf>
    <dxf>
      <numFmt numFmtId="0" formatCode="General"/>
      <fill>
        <patternFill patternType="none">
          <fgColor indexed="64"/>
          <bgColor auto="1"/>
        </patternFill>
      </fill>
      <protection locked="1" hidden="0"/>
    </dxf>
    <dxf>
      <fill>
        <patternFill patternType="none">
          <fgColor indexed="64"/>
          <bgColor auto="1"/>
        </patternFill>
      </fill>
      <protection locked="1" hidden="0"/>
    </dxf>
    <dxf>
      <font>
        <strike val="0"/>
        <outline val="0"/>
        <shadow val="0"/>
        <u val="none"/>
        <vertAlign val="baseline"/>
        <color theme="0"/>
        <name val="Calibri"/>
        <family val="2"/>
        <scheme val="minor"/>
      </font>
      <fill>
        <patternFill patternType="none">
          <bgColor auto="1"/>
        </patternFill>
      </fill>
      <alignment horizontal="general" vertical="top" textRotation="0" wrapText="1" indent="0" justifyLastLine="0" shrinkToFit="0" readingOrder="0"/>
      <protection locked="1" hidden="0"/>
    </dxf>
    <dxf>
      <font>
        <b/>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numFmt numFmtId="3" formatCode="#,##0"/>
    </dxf>
    <dxf>
      <numFmt numFmtId="3" formatCode="#,##0"/>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protection locked="0" hidden="0"/>
    </dxf>
    <dxf>
      <font>
        <b/>
        <family val="2"/>
      </font>
      <fill>
        <patternFill patternType="none">
          <fgColor indexed="64"/>
          <bgColor auto="1"/>
        </patternFill>
      </fill>
    </dxf>
    <dxf>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numFmt numFmtId="3" formatCode="#,##0"/>
    </dxf>
    <dxf>
      <numFmt numFmtId="3" formatCode="#,##0"/>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protection locked="0" hidden="0"/>
    </dxf>
    <dxf>
      <font>
        <b/>
        <family val="2"/>
      </font>
      <fill>
        <patternFill patternType="none">
          <fgColor indexed="64"/>
          <bgColor auto="1"/>
        </patternFill>
      </fill>
    </dxf>
    <dxf>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numFmt numFmtId="3" formatCode="#,##0"/>
    </dxf>
    <dxf>
      <numFmt numFmtId="3" formatCode="#,##0"/>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protection locked="0" hidden="0"/>
    </dxf>
    <dxf>
      <font>
        <b/>
        <family val="2"/>
      </font>
      <fill>
        <patternFill patternType="none">
          <fgColor indexed="64"/>
          <bgColor auto="1"/>
        </patternFill>
      </fill>
    </dxf>
    <dxf>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numFmt numFmtId="3" formatCode="#,##0"/>
    </dxf>
    <dxf>
      <numFmt numFmtId="3" formatCode="#,##0"/>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protection locked="0" hidden="0"/>
    </dxf>
    <dxf>
      <font>
        <b/>
        <family val="2"/>
      </font>
      <fill>
        <patternFill patternType="none">
          <fgColor indexed="64"/>
          <bgColor auto="1"/>
        </patternFill>
      </fill>
    </dxf>
    <dxf>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fill>
        <patternFill patternType="lightUp">
          <fgColor indexed="64"/>
          <bgColor indexed="65"/>
        </patternFill>
      </fill>
      <alignment horizontal="general" vertical="top" textRotation="0" indent="0" justifyLastLine="0" shrinkToFit="0" readingOrder="0"/>
      <protection locked="0" hidden="0"/>
    </dxf>
    <dxf>
      <font>
        <b/>
        <i val="0"/>
        <strike val="0"/>
        <condense val="0"/>
        <extend val="0"/>
        <outline val="0"/>
        <shadow val="0"/>
        <u val="none"/>
        <vertAlign val="baseline"/>
        <sz val="11"/>
        <color theme="0"/>
        <name val="Calibri"/>
        <family val="2"/>
        <scheme val="minor"/>
      </font>
      <fill>
        <patternFill patternType="solid">
          <fgColor indexed="64"/>
          <bgColor indexed="65"/>
        </patternFill>
      </fill>
    </dxf>
    <dxf>
      <font>
        <b val="0"/>
        <i val="0"/>
        <strike val="0"/>
        <condense val="0"/>
        <extend val="0"/>
        <outline val="0"/>
        <shadow val="0"/>
        <u val="none"/>
        <vertAlign val="baseline"/>
        <sz val="11"/>
        <color theme="0"/>
        <name val="Calibri"/>
        <family val="2"/>
        <scheme val="minor"/>
      </font>
      <fill>
        <patternFill patternType="solid">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indexed="65"/>
        </patternFill>
      </fill>
    </dxf>
    <dxf>
      <font>
        <b/>
        <i val="0"/>
        <strike val="0"/>
        <condense val="0"/>
        <extend val="0"/>
        <outline val="0"/>
        <shadow val="0"/>
        <u val="none"/>
        <vertAlign val="baseline"/>
        <sz val="11"/>
        <color theme="0"/>
        <name val="Calibri"/>
        <family val="2"/>
        <scheme val="minor"/>
      </font>
      <numFmt numFmtId="165" formatCode="#,##0.0"/>
      <fill>
        <patternFill patternType="solid">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5" formatCode="#,##0.0"/>
      <fill>
        <patternFill patternType="solid">
          <fgColor indexed="64"/>
          <bgColor theme="7"/>
        </patternFill>
      </fill>
    </dxf>
    <dxf>
      <font>
        <b/>
      </font>
      <numFmt numFmtId="165" formatCode="#,##0.0"/>
      <fill>
        <patternFill patternType="lightUp">
          <fgColor indexed="64"/>
          <bgColor indexed="65"/>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3" formatCode="#,##0"/>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1" indent="0" justifyLastLine="0" shrinkToFit="0" readingOrder="0"/>
      <protection locked="0" hidden="0"/>
    </dxf>
    <dxf>
      <font>
        <b/>
      </font>
    </dxf>
    <dxf>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top" textRotation="0" indent="0" justifyLastLine="0" shrinkToFit="0" readingOrder="0"/>
      <protection locked="0" hidden="0"/>
    </dxf>
    <dxf>
      <font>
        <b/>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top" textRotation="0" indent="0" justifyLastLine="0" shrinkToFit="0" readingOrder="0"/>
      <protection locked="0" hidden="0"/>
    </dxf>
    <dxf>
      <font>
        <b/>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top" textRotation="0" indent="0" justifyLastLine="0" shrinkToFit="0" readingOrder="0"/>
      <protection locked="0" hidden="0"/>
    </dxf>
    <dxf>
      <font>
        <b/>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top" textRotation="0" indent="0" justifyLastLine="0" shrinkToFit="0" readingOrder="0"/>
      <protection locked="0" hidden="0"/>
    </dxf>
    <dxf>
      <font>
        <b/>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top" textRotation="0" indent="0" justifyLastLine="0" shrinkToFit="0" readingOrder="0"/>
      <protection locked="0" hidden="0"/>
    </dxf>
    <dxf>
      <font>
        <b/>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top" textRotation="0" indent="0" justifyLastLine="0" shrinkToFit="0" readingOrder="0"/>
      <protection locked="0" hidden="0"/>
    </dxf>
    <dxf>
      <font>
        <b/>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top" textRotation="0" indent="0" justifyLastLine="0" shrinkToFit="0" readingOrder="0"/>
      <protection locked="0" hidden="0"/>
    </dxf>
    <dxf>
      <font>
        <b/>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top" textRotation="0" indent="0" justifyLastLine="0" shrinkToFit="0" readingOrder="0"/>
      <protection locked="0" hidden="0"/>
    </dxf>
    <dxf>
      <font>
        <b/>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auto="1"/>
        </patternFill>
      </fill>
      <alignment horizontal="general" vertical="top" textRotation="0" indent="0" justifyLastLine="0" shrinkToFit="0" readingOrder="0"/>
      <protection locked="0" hidden="0"/>
    </dxf>
    <dxf>
      <font>
        <b/>
        <i val="0"/>
        <strike val="0"/>
        <condense val="0"/>
        <extend val="0"/>
        <outline val="0"/>
        <shadow val="0"/>
        <u val="none"/>
        <vertAlign val="baseline"/>
        <sz val="11"/>
        <color theme="0"/>
        <name val="Calibri"/>
        <family val="2"/>
        <scheme val="minor"/>
      </font>
      <fill>
        <patternFill patternType="solid">
          <fgColor indexed="64"/>
          <bgColor indexed="65"/>
        </patternFill>
      </fill>
    </dxf>
    <dxf>
      <font>
        <b val="0"/>
        <i val="0"/>
        <strike val="0"/>
        <condense val="0"/>
        <extend val="0"/>
        <outline val="0"/>
        <shadow val="0"/>
        <u val="none"/>
        <vertAlign val="baseline"/>
        <sz val="11"/>
        <color theme="0"/>
        <name val="Calibri"/>
        <family val="2"/>
        <scheme val="minor"/>
      </font>
      <fill>
        <patternFill patternType="solid">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indexed="65"/>
        </patternFill>
      </fill>
    </dxf>
    <dxf>
      <font>
        <b/>
        <i val="0"/>
        <strike val="0"/>
        <condense val="0"/>
        <extend val="0"/>
        <outline val="0"/>
        <shadow val="0"/>
        <u val="none"/>
        <vertAlign val="baseline"/>
        <sz val="11"/>
        <color theme="0"/>
        <name val="Calibri"/>
        <family val="2"/>
        <scheme val="minor"/>
      </font>
      <numFmt numFmtId="165" formatCode="#,##0.0"/>
      <fill>
        <patternFill patternType="solid">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5" formatCode="#,##0.0"/>
      <fill>
        <patternFill patternType="solid">
          <fgColor indexed="64"/>
          <bgColor theme="7"/>
        </patternFill>
      </fill>
    </dxf>
    <dxf>
      <font>
        <b/>
      </font>
      <numFmt numFmtId="165" formatCode="#,##0.0"/>
      <fill>
        <patternFill patternType="none">
          <fgColor indexed="64"/>
          <bgColor auto="1"/>
        </patternFill>
      </fil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3" formatCode="#,##0"/>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fill>
        <patternFill patternType="none">
          <fgColor indexed="64"/>
          <bgColor auto="1"/>
        </patternFill>
      </fill>
      <protection locked="0" hidden="0"/>
    </dxf>
    <dxf>
      <font>
        <b/>
        <family val="2"/>
      </font>
      <fill>
        <patternFill patternType="none">
          <fgColor indexed="64"/>
          <bgColor auto="1"/>
        </patternFill>
      </fill>
    </dxf>
    <dxf>
      <fill>
        <patternFill patternType="none">
          <fgColor indexed="64"/>
          <bgColor auto="1"/>
        </patternFill>
      </fill>
      <protection locked="0" hidden="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fill>
        <patternFill patternType="none">
          <fgColor indexed="64"/>
          <bgColor auto="1"/>
        </patternFill>
      </fill>
      <alignment horizontal="general" vertical="top" textRotation="0" wrapText="0" indent="0" justifyLastLine="0" shrinkToFit="0" readingOrder="0"/>
      <protection locked="0" hidden="0"/>
    </dxf>
    <dxf>
      <font>
        <b/>
        <i val="0"/>
        <strike val="0"/>
        <condense val="0"/>
        <extend val="0"/>
        <outline val="0"/>
        <shadow val="0"/>
        <u val="none"/>
        <vertAlign val="baseline"/>
        <sz val="11"/>
        <color theme="0"/>
        <name val="Calibri"/>
        <family val="2"/>
        <scheme val="minor"/>
      </font>
      <fill>
        <patternFill patternType="solid">
          <fgColor indexed="64"/>
          <bgColor indexed="65"/>
        </patternFill>
      </fill>
    </dxf>
    <dxf>
      <font>
        <b val="0"/>
        <i val="0"/>
        <strike val="0"/>
        <condense val="0"/>
        <extend val="0"/>
        <outline val="0"/>
        <shadow val="0"/>
        <u val="none"/>
        <vertAlign val="baseline"/>
        <sz val="11"/>
        <color theme="0"/>
        <name val="Calibri"/>
        <family val="2"/>
        <scheme val="minor"/>
      </font>
      <fill>
        <patternFill patternType="solid">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indexed="65"/>
        </patternFill>
      </fill>
    </dxf>
    <dxf>
      <font>
        <b/>
        <i val="0"/>
        <strike val="0"/>
        <condense val="0"/>
        <extend val="0"/>
        <outline val="0"/>
        <shadow val="0"/>
        <u val="none"/>
        <vertAlign val="baseline"/>
        <sz val="11"/>
        <color theme="0"/>
        <name val="Calibri"/>
        <family val="2"/>
        <scheme val="minor"/>
      </font>
      <numFmt numFmtId="165" formatCode="#,##0.0"/>
      <fill>
        <patternFill patternType="solid">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auto="1"/>
        <name val="Calibri"/>
        <family val="2"/>
        <scheme val="minor"/>
      </font>
      <numFmt numFmtId="165" formatCode="#,##0.0"/>
      <fill>
        <patternFill patternType="solid">
          <fgColor indexed="64"/>
          <bgColor theme="7"/>
        </patternFill>
      </fill>
    </dxf>
    <dxf>
      <font>
        <b/>
      </font>
      <numFmt numFmtId="165" formatCode="#,##0.0"/>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3" formatCode="#,##0"/>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dxf>
    <dxf>
      <fill>
        <patternFill patternType="none">
          <fgColor indexed="64"/>
          <bgColor auto="1"/>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fill>
        <patternFill patternType="none">
          <fgColor indexed="64"/>
          <bgColor auto="1"/>
        </patternFill>
      </fill>
      <alignment horizontal="general" textRotation="0" wrapText="1" indent="0" justifyLastLine="0" shrinkToFit="0" readingOrder="0"/>
      <protection locked="0" hidden="0"/>
    </dxf>
    <dxf>
      <font>
        <b/>
        <family val="2"/>
      </font>
      <fill>
        <patternFill patternType="none">
          <fgColor indexed="64"/>
          <bgColor auto="1"/>
        </patternFill>
      </fill>
    </dxf>
    <dxf>
      <fill>
        <patternFill patternType="none">
          <fgColor indexed="64"/>
          <bgColor auto="1"/>
        </patternFill>
      </fill>
      <alignment wrapText="1" indent="0" justifyLastLine="0" shrinkToFit="0" readingOrder="0"/>
      <protection locked="0" hidden="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1" indent="0" justifyLastLine="0" shrinkToFit="0" readingOrder="0"/>
    </dxf>
    <dxf>
      <numFmt numFmtId="0" formatCode="General"/>
      <fill>
        <patternFill patternType="none">
          <fgColor indexed="64"/>
          <bgColor auto="1"/>
        </patternFill>
      </fill>
      <alignment horizontal="general" vertical="top" textRotation="0" wrapText="0" indent="0" justifyLastLine="0" shrinkToFit="0" readingOrder="0"/>
      <protection locked="0" hidden="0"/>
    </dxf>
    <dxf>
      <numFmt numFmtId="0" formatCode="General"/>
      <fill>
        <patternFill patternType="none">
          <fgColor indexed="64"/>
          <bgColor auto="1"/>
        </patternFill>
      </fill>
      <alignment horizontal="general" vertical="top" textRotation="0" wrapText="0" indent="0" justifyLastLine="0" shrinkToFit="0" readingOrder="0"/>
      <protection locked="0" hidden="0"/>
    </dxf>
    <dxf>
      <numFmt numFmtId="0" formatCode="General"/>
      <fill>
        <patternFill patternType="none">
          <fgColor indexed="64"/>
          <bgColor auto="1"/>
        </patternFill>
      </fill>
      <alignment horizontal="general" vertical="top" textRotation="0" wrapText="0" indent="0" justifyLastLine="0" shrinkToFit="0" readingOrder="0"/>
      <protection locked="0" hidden="0"/>
    </dxf>
    <dxf>
      <numFmt numFmtId="0" formatCode="General"/>
      <fill>
        <patternFill patternType="none">
          <fgColor indexed="64"/>
          <bgColor auto="1"/>
        </patternFill>
      </fill>
      <alignment horizontal="general" vertical="top" textRotation="0" wrapText="0" indent="0" justifyLastLine="0" shrinkToFit="0" readingOrder="0"/>
      <protection locked="0" hidden="0"/>
    </dxf>
    <dxf>
      <numFmt numFmtId="0" formatCode="General"/>
      <alignment horizontal="general" vertical="top" textRotation="0" wrapText="0" indent="0" justifyLastLine="0" shrinkToFit="0" readingOrder="0"/>
    </dxf>
    <dxf>
      <numFmt numFmtId="0" formatCode="General"/>
      <fill>
        <patternFill patternType="none">
          <fgColor indexed="64"/>
          <bgColor auto="1"/>
        </patternFill>
      </fill>
      <alignment horizontal="general" vertical="top" textRotation="0" wrapText="0" indent="0" justifyLastLine="0" shrinkToFit="0" readingOrder="0"/>
      <protection locked="0" hidden="0"/>
    </dxf>
    <dxf>
      <numFmt numFmtId="0" formatCode="General"/>
      <fill>
        <patternFill patternType="none">
          <fgColor indexed="64"/>
          <bgColor auto="1"/>
        </patternFill>
      </fill>
      <alignment horizontal="general" vertical="top" textRotation="0" wrapText="0" indent="0" justifyLastLine="0" shrinkToFit="0" readingOrder="0"/>
      <protection locked="0" hidden="0"/>
    </dxf>
    <dxf>
      <numFmt numFmtId="0" formatCode="General"/>
      <fill>
        <patternFill patternType="none">
          <fgColor indexed="64"/>
          <bgColor auto="1"/>
        </patternFill>
      </fill>
      <alignment horizontal="general" vertical="top" textRotation="0" wrapText="0" indent="0" justifyLastLine="0" shrinkToFit="0" readingOrder="0"/>
      <protection locked="0" hidden="0"/>
    </dxf>
    <dxf>
      <numFmt numFmtId="0" formatCode="General"/>
      <alignment horizontal="general" vertical="top" textRotation="0" wrapText="0" indent="0" justifyLastLine="0" shrinkToFit="0" readingOrder="0"/>
    </dxf>
    <dxf>
      <numFmt numFmtId="0" formatCode="General"/>
      <fill>
        <patternFill patternType="none">
          <fgColor indexed="64"/>
          <bgColor auto="1"/>
        </patternFill>
      </fill>
      <alignment horizontal="general" vertical="top" textRotation="0" wrapText="0" indent="0" justifyLastLine="0" shrinkToFit="0" readingOrder="0"/>
      <border outline="0">
        <left style="thin">
          <color indexed="64"/>
        </left>
        <right/>
      </border>
      <protection locked="0" hidden="0"/>
    </dxf>
    <dxf>
      <font>
        <b/>
      </font>
      <numFmt numFmtId="165" formatCode="#,##0.0"/>
      <fill>
        <patternFill patternType="none">
          <fgColor indexed="64"/>
          <bgColor auto="1"/>
        </patternFill>
      </fill>
      <alignment horizontal="general" vertical="top" textRotation="0" wrapText="0" indent="0" justifyLastLine="0" shrinkToFit="0" readingOrder="0"/>
      <protection locked="0" hidden="0"/>
    </dxf>
    <dxf>
      <fill>
        <patternFill patternType="none">
          <fgColor indexed="64"/>
          <bgColor auto="1"/>
        </patternFill>
      </fill>
      <alignment horizontal="general" vertical="top" textRotation="0" wrapText="1" indent="0" justifyLastLine="0" shrinkToFit="0" readingOrder="0"/>
      <protection locked="0" hidden="0"/>
    </dxf>
    <dxf>
      <fill>
        <patternFill patternType="none">
          <fgColor indexed="64"/>
          <bgColor auto="1"/>
        </patternFill>
      </fill>
      <alignment horizontal="general" vertical="top" textRotation="0" wrapText="1" indent="0" justifyLastLine="0" shrinkToFit="0" readingOrder="0"/>
      <protection locked="0" hidden="0"/>
    </dxf>
    <dxf>
      <fill>
        <patternFill patternType="none">
          <fgColor indexed="64"/>
          <bgColor auto="1"/>
        </patternFill>
      </fill>
      <alignment horizontal="general" vertical="top" textRotation="0" wrapText="1" indent="0" justifyLastLine="0" shrinkToFit="0" readingOrder="0"/>
      <protection locked="0" hidden="0"/>
    </dxf>
    <dxf>
      <numFmt numFmtId="165" formatCode="#,##0.0"/>
      <alignment horizontal="general" vertical="top" textRotation="0" wrapText="1" indent="0" justifyLastLine="0" shrinkToFit="0" readingOrder="0"/>
      <protection locked="0" hidden="0"/>
    </dxf>
    <dxf>
      <numFmt numFmtId="165" formatCode="#,##0.0"/>
      <fill>
        <patternFill patternType="none">
          <fgColor indexed="64"/>
          <bgColor auto="1"/>
        </patternFill>
      </fill>
      <alignment horizontal="general" vertical="top" textRotation="0" wrapText="1" indent="0" justifyLastLine="0" shrinkToFit="0" readingOrder="0"/>
      <protection locked="0" hidden="0"/>
    </dxf>
    <dxf>
      <numFmt numFmtId="3" formatCode="#,##0"/>
      <fill>
        <patternFill patternType="none">
          <fgColor indexed="64"/>
          <bgColor auto="1"/>
        </patternFill>
      </fill>
      <alignment horizontal="general" vertical="top" textRotation="0" wrapText="1" indent="0" justifyLastLine="0" shrinkToFit="0" readingOrder="0"/>
      <protection locked="0" hidden="0"/>
    </dxf>
    <dxf>
      <fill>
        <patternFill patternType="none">
          <fgColor indexed="64"/>
          <bgColor auto="1"/>
        </patternFill>
      </fill>
      <alignment horizontal="general" vertical="top" textRotation="0" wrapText="1" indent="0" justifyLastLine="0" shrinkToFit="0" readingOrder="0"/>
      <protection locked="0" hidden="0"/>
    </dxf>
    <dxf>
      <fill>
        <patternFill patternType="none">
          <fgColor indexed="64"/>
          <bgColor auto="1"/>
        </patternFill>
      </fill>
      <alignment horizontal="general" vertical="top" textRotation="0" wrapText="1" indent="0" justifyLastLine="0" shrinkToFit="0" readingOrder="0"/>
      <protection locked="0" hidden="0"/>
    </dxf>
    <dxf>
      <numFmt numFmtId="0" formatCode="General"/>
      <fill>
        <patternFill patternType="none">
          <fgColor indexed="64"/>
          <bgColor auto="1"/>
        </patternFill>
      </fill>
      <protection locked="0" hidden="0"/>
    </dxf>
    <dxf>
      <font>
        <b/>
        <family val="2"/>
      </font>
      <fill>
        <patternFill patternType="none">
          <fgColor indexed="64"/>
          <bgColor auto="1"/>
        </patternFill>
      </fill>
    </dxf>
    <dxf>
      <fill>
        <patternFill patternType="none">
          <fgColor indexed="64"/>
          <bgColor auto="1"/>
        </patternFill>
      </fill>
      <protection locked="0" hidden="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1" indent="0" justifyLastLine="0" shrinkToFit="0" readingOrder="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wrapText="0" indent="0" justifyLastLine="0" shrinkToFit="0" readingOrder="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alignment horizontal="general" vertical="top" textRotation="0" wrapText="0" indent="0" justifyLastLine="0" shrinkToFit="0" readingOrder="0"/>
    </dxf>
    <dxf>
      <numFmt numFmtId="0" formatCode="General"/>
      <fill>
        <patternFill patternType="lightUp">
          <fgColor indexed="64"/>
          <bgColor indexed="65"/>
        </patternFill>
      </fill>
      <alignment horizontal="general" vertical="top" textRotation="0" indent="0" justifyLastLine="0" shrinkToFit="0" readingOrder="0"/>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indexed="65"/>
        </patternFill>
      </fill>
      <alignment horizontal="general" vertical="top" textRotation="0" wrapText="0" indent="0" justifyLastLine="0" shrinkToFit="0" readingOrder="0"/>
    </dxf>
    <dxf>
      <font>
        <strike val="0"/>
        <outline val="0"/>
        <shadow val="0"/>
        <u val="none"/>
        <vertAlign val="baseline"/>
        <color theme="0"/>
        <name val="Calibri"/>
        <family val="2"/>
        <scheme val="minor"/>
      </font>
      <fill>
        <patternFill patternType="solid">
          <fgColor indexed="64"/>
          <bgColor indexed="65"/>
        </patternFill>
      </fill>
      <alignment horizontal="general" vertical="top" textRotation="0" wrapText="0" indent="0" justifyLastLine="0" shrinkToFit="0" readingOrder="0"/>
    </dxf>
    <dxf>
      <font>
        <b/>
      </font>
      <numFmt numFmtId="165" formatCode="#,##0.0"/>
      <fill>
        <patternFill patternType="lightUp">
          <fgColor indexed="64"/>
          <bgColor indexed="65"/>
        </patternFill>
      </fill>
      <alignment horizontal="general" vertical="top" textRotation="0" indent="0" justifyLastLine="0" shrinkToFit="0" readingOrder="0"/>
      <protection locked="0"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numFmt numFmtId="0" formatCode="General"/>
      <alignment horizontal="general" vertical="top" textRotation="0" wrapText="1" indent="0" justifyLastLine="0" shrinkToFit="0" readingOrder="0"/>
      <protection locked="0" hidden="0"/>
    </dxf>
    <dxf>
      <numFmt numFmtId="3" formatCode="#,##0"/>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numFmt numFmtId="0" formatCode="General"/>
      <alignment horizontal="general" vertical="top" textRotation="0" wrapText="1" indent="0" justifyLastLine="0" shrinkToFit="0" readingOrder="0"/>
      <protection locked="0" hidden="0"/>
    </dxf>
    <dxf>
      <font>
        <b/>
      </font>
    </dxf>
    <dxf>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1" indent="0" justifyLastLine="0" shrinkToFit="0" readingOrder="0"/>
    </dxf>
    <dxf>
      <font>
        <b/>
      </font>
    </dxf>
    <dxf>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0"/>
        <name val="Calibri"/>
        <family val="2"/>
        <scheme val="minor"/>
      </font>
      <fill>
        <patternFill patternType="solid">
          <fgColor indexed="64"/>
          <bgColor theme="0"/>
        </patternFill>
      </fill>
    </dxf>
    <dxf>
      <font>
        <strike val="0"/>
        <outline val="0"/>
        <shadow val="0"/>
        <u val="none"/>
        <vertAlign val="baseline"/>
        <color theme="0"/>
        <name val="Calibri"/>
        <family val="2"/>
        <scheme val="minor"/>
      </font>
      <fill>
        <patternFill patternType="solid">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0"/>
        </patternFill>
      </fill>
    </dxf>
    <dxf>
      <font>
        <b/>
        <i val="0"/>
        <strike val="0"/>
        <condense val="0"/>
        <extend val="0"/>
        <outline val="0"/>
        <shadow val="0"/>
        <u val="none"/>
        <vertAlign val="baseline"/>
        <sz val="11"/>
        <color theme="0"/>
        <name val="Calibri"/>
        <family val="2"/>
        <scheme val="minor"/>
      </font>
      <numFmt numFmtId="165" formatCode="#,##0.0"/>
      <fill>
        <patternFill patternType="solid">
          <fgColor indexed="64"/>
          <bgColor indexed="65"/>
        </patternFill>
      </fill>
      <alignment horizontal="general" vertical="top" textRotation="0" wrapText="0" indent="0" justifyLastLine="0" shrinkToFit="0" readingOrder="0"/>
      <protection locked="0" hidden="0"/>
    </dxf>
    <dxf>
      <font>
        <b/>
        <i val="0"/>
        <strike val="0"/>
        <condense val="0"/>
        <extend val="0"/>
        <outline val="0"/>
        <shadow val="0"/>
        <u val="none"/>
        <vertAlign val="baseline"/>
        <sz val="11"/>
        <color theme="1"/>
        <name val="Calibri"/>
        <family val="2"/>
        <scheme val="minor"/>
      </font>
      <numFmt numFmtId="165" formatCode="#,##0.0"/>
      <fill>
        <patternFill patternType="solid">
          <fgColor indexed="64"/>
          <bgColor theme="7"/>
        </patternFill>
      </fill>
    </dxf>
    <dxf>
      <font>
        <b/>
      </font>
      <numFmt numFmtId="165" formatCode="#,##0.0"/>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3" formatCode="#,##0"/>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1" indent="0" justifyLastLine="0" shrinkToFit="0" readingOrder="0"/>
      <protection locked="0" hidden="0"/>
    </dxf>
    <dxf>
      <font>
        <b/>
      </font>
    </dxf>
    <dxf>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1" indent="0" justifyLastLine="0" shrinkToFit="0" readingOrder="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wrapText="0" indent="0" justifyLastLine="0" shrinkToFit="0" readingOrder="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wrapText="0" indent="0" justifyLastLine="0" shrinkToFit="0" readingOrder="0"/>
    </dxf>
    <dxf>
      <numFmt numFmtId="0" formatCode="General"/>
      <fill>
        <patternFill patternType="lightUp">
          <fgColor indexed="64"/>
          <bgColor indexed="65"/>
        </patternFill>
      </fill>
      <alignment horizontal="general" vertical="top" textRotation="0" indent="0" justifyLastLine="0" shrinkToFit="0" readingOrder="0"/>
      <protection locked="0" hidden="0"/>
    </dxf>
    <dxf>
      <font>
        <b/>
        <i val="0"/>
        <strike val="0"/>
        <condense val="0"/>
        <extend val="0"/>
        <outline val="0"/>
        <shadow val="0"/>
        <u val="none"/>
        <vertAlign val="baseline"/>
        <sz val="11"/>
        <color theme="0"/>
        <name val="Calibri"/>
        <family val="2"/>
        <scheme val="minor"/>
      </font>
      <numFmt numFmtId="165" formatCode="#,##0.0"/>
      <fill>
        <patternFill patternType="solid">
          <fgColor indexed="64"/>
          <bgColor indexed="65"/>
        </patternFill>
      </fill>
      <alignment horizontal="general" vertical="top" textRotation="0" wrapText="0" indent="0" justifyLastLine="0" shrinkToFit="0" readingOrder="0"/>
    </dxf>
    <dxf>
      <font>
        <b/>
      </font>
      <numFmt numFmtId="165" formatCode="#,##0.0"/>
      <alignment horizontal="general" vertical="top" textRotation="0" wrapText="0" indent="0" justifyLastLine="0" shrinkToFit="0" readingOrder="0"/>
      <protection locked="0"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numFmt numFmtId="0" formatCode="General"/>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numFmt numFmtId="0" formatCode="General"/>
      <alignment horizontal="general" vertical="top" textRotation="0" wrapText="1" indent="0" justifyLastLine="0" shrinkToFit="0" readingOrder="0"/>
      <protection locked="0" hidden="0"/>
    </dxf>
    <dxf>
      <numFmt numFmtId="3" formatCode="#,##0"/>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numFmt numFmtId="0" formatCode="General"/>
      <alignment horizontal="general" vertical="top" textRotation="0" wrapText="1" indent="0" justifyLastLine="0" shrinkToFit="0" readingOrder="0"/>
      <protection locked="0" hidden="0"/>
    </dxf>
    <dxf>
      <font>
        <b/>
      </font>
    </dxf>
    <dxf>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1"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wrapText="0" indent="0" justifyLastLine="0" shrinkToFit="0" readingOrder="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wrapText="0" indent="0" justifyLastLine="0" shrinkToFit="0" readingOrder="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wrapText="0" indent="0" justifyLastLine="0" shrinkToFit="0" readingOrder="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protection locked="0" hidden="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indent="0" justifyLastLine="0" shrinkToFit="0" readingOrder="0"/>
      <protection locked="0" hidden="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indent="0" justifyLastLine="0" shrinkToFit="0" readingOrder="0"/>
      <protection locked="0" hidden="0"/>
    </dxf>
    <dxf>
      <numFmt numFmtId="0" formatCode="General"/>
      <alignment horizontal="general" vertical="top" textRotation="0" wrapText="0" indent="0" justifyLastLine="0" shrinkToFit="0" readingOrder="0"/>
    </dxf>
    <dxf>
      <numFmt numFmtId="0" formatCode="General"/>
      <fill>
        <patternFill patternType="lightUp">
          <fgColor indexed="64"/>
          <bgColor indexed="65"/>
        </patternFill>
      </fill>
      <alignment horizontal="general" vertical="top" textRotation="0" indent="0" justifyLastLine="0" shrinkToFit="0" readingOrder="0"/>
      <protection locked="0" hidden="0"/>
    </dxf>
    <dxf>
      <font>
        <strike val="0"/>
        <outline val="0"/>
        <shadow val="0"/>
        <u val="none"/>
        <vertAlign val="baseline"/>
        <color theme="0"/>
        <name val="Calibri"/>
        <family val="2"/>
        <scheme val="minor"/>
      </font>
      <fill>
        <patternFill patternType="solid">
          <fgColor indexed="64"/>
          <bgColor indexed="65"/>
        </patternFill>
      </fill>
      <alignment horizontal="general" vertical="top" textRotation="0" wrapText="0" indent="0" justifyLastLine="0" shrinkToFit="0" readingOrder="0"/>
    </dxf>
    <dxf>
      <font>
        <b/>
      </font>
      <numFmt numFmtId="165" formatCode="#,##0.0"/>
      <alignment horizontal="general" vertical="top" textRotation="0" indent="0" justifyLastLine="0" shrinkToFit="0" readingOrder="0"/>
      <protection locked="0"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numFmt numFmtId="0" formatCode="General"/>
      <alignment horizontal="general" vertical="top" textRotation="0" wrapText="1" indent="0" justifyLastLine="0" shrinkToFit="0" readingOrder="0"/>
      <protection locked="0" hidden="0"/>
    </dxf>
    <dxf>
      <numFmt numFmtId="3" formatCode="#,##0"/>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numFmt numFmtId="0" formatCode="General"/>
      <alignment horizontal="general" vertical="top" textRotation="0" wrapText="1" indent="0" justifyLastLine="0" shrinkToFit="0" readingOrder="0"/>
      <protection locked="0" hidden="0"/>
    </dxf>
    <dxf>
      <font>
        <b/>
      </font>
    </dxf>
    <dxf>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font>
        <color theme="0"/>
      </font>
      <fill>
        <patternFill patternType="solid">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fill>
        <patternFill patternType="lightUp">
          <fgColor indexed="64"/>
          <bgColor indexed="65"/>
        </patternFill>
      </fill>
      <alignment horizontal="general" vertical="top" textRotation="0" indent="0" justifyLastLine="0" shrinkToFit="0" readingOrder="0"/>
      <protection locked="0" hidden="0"/>
    </dxf>
    <dxf>
      <font>
        <b/>
        <i val="0"/>
        <strike val="0"/>
        <condense val="0"/>
        <extend val="0"/>
        <outline val="0"/>
        <shadow val="0"/>
        <u val="none"/>
        <vertAlign val="baseline"/>
        <sz val="11"/>
        <color theme="0"/>
        <name val="Calibri"/>
        <family val="2"/>
        <scheme val="minor"/>
      </font>
      <fill>
        <patternFill patternType="solid">
          <fgColor indexed="64"/>
          <bgColor indexed="65"/>
        </patternFill>
      </fill>
    </dxf>
    <dxf>
      <font>
        <b val="0"/>
        <i val="0"/>
        <strike val="0"/>
        <condense val="0"/>
        <extend val="0"/>
        <outline val="0"/>
        <shadow val="0"/>
        <u val="none"/>
        <vertAlign val="baseline"/>
        <sz val="11"/>
        <color theme="0"/>
        <name val="Calibri"/>
        <family val="2"/>
        <scheme val="minor"/>
      </font>
      <fill>
        <patternFill patternType="solid">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indexed="65"/>
        </patternFill>
      </fill>
    </dxf>
    <dxf>
      <font>
        <strike val="0"/>
        <outline val="0"/>
        <shadow val="0"/>
        <u val="none"/>
        <vertAlign val="baseline"/>
        <color theme="0"/>
        <name val="Calibri"/>
        <family val="2"/>
        <scheme val="minor"/>
      </font>
      <fill>
        <patternFill patternType="solid">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indexed="65"/>
        </patternFill>
      </fill>
    </dxf>
    <dxf>
      <fill>
        <patternFill patternType="solid">
          <fgColor indexed="64"/>
          <bgColor auto="1"/>
        </patternFill>
      </fill>
      <alignment horizontal="general" vertical="top" textRotation="0" indent="0" justifyLastLine="0" shrinkToFit="0" readingOrder="0"/>
      <protection locked="0" hidden="0"/>
    </dxf>
    <dxf>
      <font>
        <b/>
        <i val="0"/>
        <strike val="0"/>
        <condense val="0"/>
        <extend val="0"/>
        <outline val="0"/>
        <shadow val="0"/>
        <u val="none"/>
        <vertAlign val="baseline"/>
        <sz val="11"/>
        <color auto="1"/>
        <name val="Calibri"/>
        <family val="2"/>
        <scheme val="minor"/>
      </font>
      <numFmt numFmtId="165" formatCode="#,##0.0"/>
      <fill>
        <patternFill patternType="solid">
          <fgColor indexed="64"/>
          <bgColor theme="7"/>
        </patternFill>
      </fill>
    </dxf>
    <dxf>
      <font>
        <b/>
      </font>
      <numFmt numFmtId="165" formatCode="#,##0.0"/>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dxf>
    <dxf>
      <numFmt numFmtId="0" formatCode="Genera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dxf>
    <dxf>
      <numFmt numFmtId="3" formatCode="#,##0"/>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1" indent="0" justifyLastLine="0" shrinkToFit="0" readingOrder="0"/>
      <protection locked="0" hidden="0"/>
    </dxf>
    <dxf>
      <font>
        <b/>
      </font>
    </dxf>
    <dxf>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1" indent="0" justifyLastLine="0" shrinkToFit="0" readingOrder="0"/>
    </dxf>
    <dxf>
      <font>
        <b/>
      </font>
    </dxf>
    <dxf>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fill>
        <patternFill patternType="lightUp">
          <fgColor indexed="64"/>
          <bgColor indexed="65"/>
        </patternFill>
      </fill>
      <alignment horizontal="general" vertical="top" textRotation="0" indent="0" justifyLastLine="0" shrinkToFit="0" readingOrder="0"/>
      <protection locked="0" hidden="0"/>
    </dxf>
    <dxf>
      <font>
        <b/>
        <i val="0"/>
        <strike val="0"/>
        <condense val="0"/>
        <extend val="0"/>
        <outline val="0"/>
        <shadow val="0"/>
        <u val="none"/>
        <vertAlign val="baseline"/>
        <sz val="11"/>
        <color auto="1"/>
        <name val="Calibri"/>
        <family val="2"/>
        <scheme val="minor"/>
      </font>
      <fill>
        <patternFill patternType="solid">
          <fgColor indexed="64"/>
          <bgColor indexed="65"/>
        </patternFill>
      </fill>
    </dxf>
    <dxf>
      <fill>
        <patternFill patternType="solid">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indexed="65"/>
        </patternFill>
      </fill>
    </dxf>
    <dxf>
      <font>
        <b/>
        <i val="0"/>
        <strike val="0"/>
        <condense val="0"/>
        <extend val="0"/>
        <outline val="0"/>
        <shadow val="0"/>
        <u val="none"/>
        <vertAlign val="baseline"/>
        <sz val="11"/>
        <color theme="1"/>
        <name val="Calibri"/>
        <family val="2"/>
        <scheme val="minor"/>
      </font>
      <numFmt numFmtId="165" formatCode="#,##0.0"/>
      <fill>
        <patternFill patternType="solid">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auto="1"/>
        <name val="Calibri"/>
        <family val="2"/>
        <scheme val="minor"/>
      </font>
      <numFmt numFmtId="165" formatCode="#,##0.0"/>
      <fill>
        <patternFill patternType="solid">
          <fgColor indexed="64"/>
          <bgColor theme="7"/>
        </patternFill>
      </fill>
    </dxf>
    <dxf>
      <font>
        <b/>
      </font>
      <numFmt numFmtId="165" formatCode="#,##0.0"/>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dxf>
    <dxf>
      <numFmt numFmtId="0" formatCode="Genera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dxf>
    <dxf>
      <numFmt numFmtId="3" formatCode="#,##0"/>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dxf>
    <dxf>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dxf>
    <dxf>
      <numFmt numFmtId="0" formatCode="General"/>
      <alignment horizontal="general" vertical="top" textRotation="0" wrapText="1" indent="0" justifyLastLine="0" shrinkToFit="0" readingOrder="0"/>
      <protection locked="0" hidden="0"/>
    </dxf>
    <dxf>
      <font>
        <b/>
      </font>
    </dxf>
    <dxf>
      <alignment horizontal="general" vertical="top" textRotation="0" indent="0" justifyLastLine="0" shrinkToFit="0" readingOrder="0"/>
      <protection locked="0" hidden="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protection locked="0" hidden="0"/>
    </dxf>
    <dxf>
      <protection locked="0" hidden="0"/>
    </dxf>
    <dxf>
      <fill>
        <patternFill patternType="none">
          <fgColor indexed="64"/>
          <bgColor auto="1"/>
        </patternFill>
      </fill>
      <protection locked="0" hidden="0"/>
    </dxf>
    <dxf>
      <fill>
        <patternFill patternType="none">
          <fgColor indexed="64"/>
          <bgColor auto="1"/>
        </patternFill>
      </fill>
      <alignment horizontal="general" vertical="bottom" textRotation="0" wrapText="1" indent="0" justifyLastLine="0" shrinkToFit="0" readingOrder="0"/>
      <protection locked="0" hidden="0"/>
    </dxf>
    <dxf>
      <numFmt numFmtId="0" formatCode="General"/>
      <fill>
        <patternFill patternType="none">
          <fgColor indexed="64"/>
          <bgColor auto="1"/>
        </patternFill>
      </fill>
      <protection locked="0" hidden="0"/>
    </dxf>
    <dxf>
      <fill>
        <patternFill patternType="none">
          <fgColor indexed="64"/>
          <bgColor auto="1"/>
        </patternFill>
      </fill>
      <protection locked="0" hidden="0"/>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vertical="top" textRotation="0" wrapText="1" indent="0" justifyLastLine="0" shrinkToFit="0" readingOrder="0"/>
      <border diagonalUp="0" diagonalDown="0" outline="0">
        <left style="thin">
          <color indexed="64"/>
        </left>
        <right style="thin">
          <color indexed="64"/>
        </right>
        <top/>
        <bottom/>
      </border>
      <protection locked="1" hidden="0"/>
    </dxf>
    <dxf>
      <border>
        <left style="thin">
          <color auto="1"/>
        </left>
        <right style="thin">
          <color auto="1"/>
        </right>
        <top style="thin">
          <color auto="1"/>
        </top>
        <bottom style="thin">
          <color auto="1"/>
        </bottom>
      </border>
    </dxf>
    <dxf>
      <fill>
        <patternFill patternType="solid">
          <fgColor theme="4" tint="0.59999389629810485"/>
          <bgColor theme="4" tint="0.59999389629810485"/>
        </patternFill>
      </fill>
    </dxf>
    <dxf>
      <fill>
        <patternFill>
          <bgColor rgb="FFD9E1F2"/>
        </patternFill>
      </fill>
    </dxf>
    <dxf>
      <fill>
        <patternFill patternType="solid">
          <fgColor theme="4" tint="0.59999389629810485"/>
          <bgColor theme="4" tint="0.59999389629810485"/>
        </patternFill>
      </fill>
    </dxf>
    <dxf>
      <font>
        <b/>
        <color theme="0"/>
      </font>
      <fill>
        <patternFill patternType="solid">
          <fgColor theme="4"/>
          <bgColor theme="4"/>
        </patternFill>
      </fill>
    </dxf>
    <dxf>
      <font>
        <b/>
        <color theme="0"/>
      </font>
      <fill>
        <patternFill patternType="solid">
          <fgColor theme="4"/>
          <bgColor theme="4"/>
        </patternFill>
      </fill>
    </dxf>
    <dxf>
      <font>
        <b/>
        <i val="0"/>
        <color auto="1"/>
      </font>
      <fill>
        <patternFill patternType="solid">
          <fgColor theme="4"/>
          <bgColor theme="4"/>
        </patternFill>
      </fill>
      <border>
        <top style="thick">
          <color theme="0"/>
        </top>
      </border>
    </dxf>
    <dxf>
      <font>
        <b/>
        <i val="0"/>
        <color auto="1"/>
      </font>
      <fill>
        <patternFill patternType="solid">
          <fgColor theme="4"/>
          <bgColor theme="4"/>
        </patternFill>
      </fill>
      <border>
        <bottom style="thick">
          <color theme="0"/>
        </bottom>
      </border>
    </dxf>
    <dxf>
      <font>
        <color theme="1"/>
      </font>
      <fill>
        <patternFill patternType="solid">
          <fgColor theme="4" tint="0.79998168889431442"/>
          <bgColor theme="4" tint="0.79998168889431442"/>
        </patternFill>
      </fill>
      <border>
        <vertical style="thin">
          <color theme="0"/>
        </vertical>
        <horizontal style="thin">
          <color theme="0"/>
        </horizontal>
      </border>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5"/>
          <bgColor theme="5"/>
        </patternFill>
      </fill>
    </dxf>
    <dxf>
      <font>
        <b/>
        <color theme="0"/>
      </font>
      <fill>
        <patternFill patternType="solid">
          <fgColor theme="5"/>
          <bgColor theme="5"/>
        </patternFill>
      </fill>
    </dxf>
    <dxf>
      <border>
        <top style="double">
          <color theme="1"/>
        </top>
      </border>
    </dxf>
    <dxf>
      <font>
        <color theme="0"/>
      </font>
      <fill>
        <patternFill patternType="solid">
          <fgColor theme="5"/>
          <bgColor theme="5"/>
        </patternFill>
      </fill>
      <border>
        <bottom style="medium">
          <color theme="1"/>
        </bottom>
      </border>
    </dxf>
    <dxf>
      <font>
        <color theme="1"/>
      </font>
      <border>
        <left style="thin">
          <color auto="1"/>
        </left>
        <right style="thin">
          <color auto="1"/>
        </right>
        <top style="medium">
          <color theme="1"/>
        </top>
        <bottom style="medium">
          <color theme="1"/>
        </bottom>
        <vertical style="thin">
          <color theme="6"/>
        </vertical>
        <horizontal style="thin">
          <color theme="6"/>
        </horizontal>
      </border>
    </dxf>
    <dxf>
      <fill>
        <patternFill patternType="solid">
          <fgColor theme="4" tint="0.59999389629810485"/>
          <bgColor theme="4" tint="0.59999389629810485"/>
        </patternFill>
      </fill>
    </dxf>
    <dxf>
      <fill>
        <patternFill>
          <bgColor rgb="FFEBF6FF"/>
        </patternFill>
      </fill>
    </dxf>
    <dxf>
      <fill>
        <patternFill patternType="solid">
          <fgColor theme="4" tint="0.59999389629810485"/>
          <bgColor rgb="FFB7E2FF"/>
        </patternFill>
      </fill>
    </dxf>
    <dxf>
      <font>
        <b/>
        <color theme="0"/>
      </font>
      <fill>
        <patternFill patternType="solid">
          <fgColor rgb="FF5ABEFF"/>
          <bgColor theme="4"/>
        </patternFill>
      </fill>
    </dxf>
    <dxf>
      <font>
        <b/>
        <color theme="0"/>
      </font>
      <fill>
        <patternFill patternType="solid">
          <fgColor rgb="FF5ABEFF"/>
          <bgColor theme="4"/>
        </patternFill>
      </fill>
    </dxf>
    <dxf>
      <font>
        <b/>
        <i val="0"/>
        <color auto="1"/>
      </font>
      <fill>
        <patternFill patternType="solid">
          <fgColor rgb="FF5ABEFF"/>
          <bgColor rgb="FF5ABEFF"/>
        </patternFill>
      </fill>
      <border>
        <top style="thick">
          <color theme="0"/>
        </top>
      </border>
    </dxf>
    <dxf>
      <font>
        <b/>
        <i val="0"/>
        <color auto="1"/>
      </font>
      <fill>
        <patternFill patternType="solid">
          <fgColor rgb="FF5ABEFF"/>
          <bgColor rgb="FF5ABEFF"/>
        </patternFill>
      </fill>
      <border>
        <bottom style="thick">
          <color theme="0"/>
        </bottom>
      </border>
    </dxf>
    <dxf>
      <font>
        <color theme="1"/>
      </font>
      <fill>
        <patternFill patternType="solid">
          <fgColor theme="4" tint="0.79998168889431442"/>
          <bgColor theme="4" tint="0.79998168889431442"/>
        </patternFill>
      </fill>
      <border>
        <vertical style="thin">
          <color theme="0"/>
        </vertical>
        <horizontal style="thin">
          <color theme="0"/>
        </horizontal>
      </border>
    </dxf>
    <dxf>
      <fill>
        <patternFill patternType="solid">
          <fgColor theme="4" tint="0.59999389629810485"/>
          <bgColor theme="4" tint="0.59999389629810485"/>
        </patternFill>
      </fill>
    </dxf>
    <dxf>
      <fill>
        <patternFill>
          <bgColor rgb="FFF3F9FF"/>
        </patternFill>
      </fill>
    </dxf>
    <dxf>
      <fill>
        <patternFill patternType="solid">
          <fgColor theme="4" tint="0.59999389629810485"/>
          <bgColor rgb="FFDDF4FF"/>
        </patternFill>
      </fill>
    </dxf>
    <dxf>
      <font>
        <b/>
        <color theme="0"/>
      </font>
      <fill>
        <patternFill patternType="solid">
          <fgColor rgb="FF5ABEFF"/>
          <bgColor theme="4"/>
        </patternFill>
      </fill>
    </dxf>
    <dxf>
      <font>
        <b/>
        <color theme="0"/>
      </font>
      <fill>
        <patternFill patternType="solid">
          <fgColor rgb="FF5ABEFF"/>
          <bgColor theme="4"/>
        </patternFill>
      </fill>
    </dxf>
    <dxf>
      <font>
        <b/>
        <i val="0"/>
        <color auto="1"/>
      </font>
      <fill>
        <patternFill patternType="solid">
          <fgColor rgb="FF5ABEFF"/>
          <bgColor rgb="FFBBE8FF"/>
        </patternFill>
      </fill>
      <border>
        <top style="thick">
          <color theme="0"/>
        </top>
      </border>
    </dxf>
    <dxf>
      <font>
        <b/>
        <i val="0"/>
        <color theme="1"/>
      </font>
      <fill>
        <patternFill patternType="solid">
          <fgColor rgb="FF5ABEFF"/>
          <bgColor rgb="FFBBE8FF"/>
        </patternFill>
      </fill>
      <border>
        <bottom style="thick">
          <color theme="0"/>
        </bottom>
      </border>
    </dxf>
    <dxf>
      <font>
        <color theme="1"/>
      </font>
      <fill>
        <patternFill patternType="solid">
          <fgColor theme="4" tint="0.79998168889431442"/>
          <bgColor theme="4" tint="0.79998168889431442"/>
        </patternFill>
      </fill>
      <border>
        <vertical style="thin">
          <color theme="0"/>
        </vertical>
        <horizontal style="thin">
          <color theme="0"/>
        </horizontal>
      </border>
    </dxf>
  </dxfs>
  <tableStyles count="5" defaultTableStyle="TableStyleMedium2" defaultPivotStyle="PivotStyleLight16">
    <tableStyle name="Beyond Carbon" pivot="0" count="8" xr9:uid="{837E1CD8-3452-4289-960A-4B07BAB46F31}">
      <tableStyleElement type="wholeTable" dxfId="1354"/>
      <tableStyleElement type="headerRow" dxfId="1353"/>
      <tableStyleElement type="totalRow" dxfId="1352"/>
      <tableStyleElement type="firstColumn" dxfId="1351"/>
      <tableStyleElement type="lastColumn" dxfId="1350"/>
      <tableStyleElement type="firstRowStripe" dxfId="1349"/>
      <tableStyleElement type="secondRowStripe" dxfId="1348"/>
      <tableStyleElement type="firstColumnStripe" dxfId="1347"/>
    </tableStyle>
    <tableStyle name="BilanzPlus" pivot="0" count="8" xr9:uid="{417344F3-F98A-4CF8-9050-3F5E0597B110}">
      <tableStyleElement type="wholeTable" dxfId="1346"/>
      <tableStyleElement type="headerRow" dxfId="1345"/>
      <tableStyleElement type="totalRow" dxfId="1344"/>
      <tableStyleElement type="firstColumn" dxfId="1343"/>
      <tableStyleElement type="lastColumn" dxfId="1342"/>
      <tableStyleElement type="firstRowStripe" dxfId="1341"/>
      <tableStyleElement type="secondRowStripe" dxfId="1340"/>
      <tableStyleElement type="firstColumnStripe" dxfId="1339"/>
    </tableStyle>
    <tableStyle name="Own Format" pivot="0" count="7" xr9:uid="{967011C9-38A7-48D3-B9C1-937682F651F1}">
      <tableStyleElement type="wholeTable" dxfId="1338"/>
      <tableStyleElement type="headerRow" dxfId="1337"/>
      <tableStyleElement type="totalRow" dxfId="1336"/>
      <tableStyleElement type="firstColumn" dxfId="1335"/>
      <tableStyleElement type="lastColumn" dxfId="1334"/>
      <tableStyleElement type="firstRowStripe" dxfId="1333"/>
      <tableStyleElement type="firstColumnStripe" dxfId="1332"/>
    </tableStyle>
    <tableStyle name="Tabelle KBK" pivot="0" count="8" xr9:uid="{EC05C257-E3BD-4109-9263-1EE6D2ADE369}">
      <tableStyleElement type="wholeTable" dxfId="1331"/>
      <tableStyleElement type="headerRow" dxfId="1330"/>
      <tableStyleElement type="totalRow" dxfId="1329"/>
      <tableStyleElement type="firstColumn" dxfId="1328"/>
      <tableStyleElement type="lastColumn" dxfId="1327"/>
      <tableStyleElement type="firstRowStripe" dxfId="1326"/>
      <tableStyleElement type="secondRowStripe" dxfId="1325"/>
      <tableStyleElement type="firstColumnStripe" dxfId="1324"/>
    </tableStyle>
    <tableStyle name="Tabellenformat Test" pivot="0" count="1" xr9:uid="{A5997440-6DF4-4643-ABD2-9963C7523BCC}">
      <tableStyleElement type="wholeTable" dxfId="1323"/>
    </tableStyle>
  </tableStyles>
  <colors>
    <mruColors>
      <color rgb="FF595959"/>
      <color rgb="FFE0D1FF"/>
      <color rgb="FFC7ABFF"/>
      <color rgb="FFD8C5FF"/>
      <color rgb="FF5BBEFF"/>
      <color rgb="FF4472C4"/>
      <color rgb="FFEFF1F5"/>
      <color rgb="FFBBE8FF"/>
      <color rgb="FFE3E3E3"/>
      <color rgb="FFC7C7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26.xml"/><Relationship Id="rId1" Type="http://schemas.microsoft.com/office/2011/relationships/chartStyle" Target="style26.xml"/></Relationships>
</file>

<file path=xl/charts/_rels/chart29.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29.xml"/><Relationship Id="rId1" Type="http://schemas.microsoft.com/office/2011/relationships/chartStyle" Target="style29.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30.xml"/><Relationship Id="rId1" Type="http://schemas.microsoft.com/office/2011/relationships/chartStyle" Target="style30.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31.xml"/><Relationship Id="rId1" Type="http://schemas.microsoft.com/office/2011/relationships/chartStyle" Target="style31.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32.xml"/><Relationship Id="rId1" Type="http://schemas.microsoft.com/office/2011/relationships/chartStyle" Target="style32.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33.xml"/><Relationship Id="rId1" Type="http://schemas.microsoft.com/office/2011/relationships/chartStyle" Target="style33.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34.xml"/><Relationship Id="rId1" Type="http://schemas.microsoft.com/office/2011/relationships/chartStyle" Target="style34.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35.xml"/><Relationship Id="rId1" Type="http://schemas.microsoft.com/office/2011/relationships/chartStyle" Target="style35.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36.xml"/><Relationship Id="rId1" Type="http://schemas.microsoft.com/office/2011/relationships/chartStyle" Target="style36.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r>
              <a:rPr lang="de-DE" sz="1200" b="1" i="0" u="none" strike="noStrike" kern="1200" spc="0" baseline="0">
                <a:solidFill>
                  <a:sysClr val="windowText" lastClr="000000">
                    <a:lumMod val="65000"/>
                    <a:lumOff val="35000"/>
                  </a:sysClr>
                </a:solidFill>
                <a:latin typeface="+mn-lt"/>
                <a:ea typeface="+mn-ea"/>
                <a:cs typeface="+mn-cs"/>
              </a:rPr>
              <a:t>Wärmeverbrauch nach Quelle</a:t>
            </a:r>
          </a:p>
        </c:rich>
      </c:tx>
      <c:overlay val="0"/>
      <c:spPr>
        <a:noFill/>
        <a:ln>
          <a:noFill/>
        </a:ln>
        <a:effectLst/>
      </c:spPr>
      <c:txPr>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manualLayout>
          <c:layoutTarget val="inner"/>
          <c:xMode val="edge"/>
          <c:yMode val="edge"/>
          <c:x val="0.13288035352883595"/>
          <c:y val="0.21270286522459209"/>
          <c:w val="0.81928938563663201"/>
          <c:h val="0.6883234287288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Ergebnisse!$C$107:$C$114</c:f>
              <c:strCache>
                <c:ptCount val="8"/>
                <c:pt idx="0">
                  <c:v>Erdgas</c:v>
                </c:pt>
                <c:pt idx="1">
                  <c:v>Biogas</c:v>
                </c:pt>
                <c:pt idx="2">
                  <c:v>Biomethan</c:v>
                </c:pt>
                <c:pt idx="3">
                  <c:v>Heizöl</c:v>
                </c:pt>
                <c:pt idx="4">
                  <c:v>Flüssiggas</c:v>
                </c:pt>
                <c:pt idx="5">
                  <c:v>Fernwärme</c:v>
                </c:pt>
                <c:pt idx="6">
                  <c:v>Holzpellets</c:v>
                </c:pt>
                <c:pt idx="7">
                  <c:v>Solarthermie</c:v>
                </c:pt>
              </c:strCache>
            </c:strRef>
          </c:cat>
          <c:val>
            <c:numRef>
              <c:f>Ergebnisse!$D$107:$D$114</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A-E307-45FE-B3C7-AC939CA8355D}"/>
            </c:ext>
          </c:extLst>
        </c:ser>
        <c:dLbls>
          <c:showLegendKey val="0"/>
          <c:showVal val="0"/>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Wärmeverbrauch [MWh]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solidFill>
                  <a:srgbClr val="595959"/>
                </a:solidFill>
              </a:rPr>
              <a:t>Gesamtemissionen nach Scope - </a:t>
            </a:r>
            <a:r>
              <a:rPr lang="de-DE" sz="1200" b="1" i="0" u="none" strike="noStrike" kern="1200" spc="0" baseline="0">
                <a:solidFill>
                  <a:srgbClr val="595959"/>
                </a:solidFill>
              </a:rPr>
              <a:t>KBK und KBK+</a:t>
            </a:r>
            <a:endParaRPr lang="de-DE" sz="1200" b="1" u="none">
              <a:solidFill>
                <a:srgbClr val="595959"/>
              </a:solidFill>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bar"/>
        <c:grouping val="clustered"/>
        <c:varyColors val="0"/>
        <c:ser>
          <c:idx val="1"/>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1-5BEB-4D47-B06A-407FCE89A136}"/>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3-A63F-4C05-B85E-49143C6CDF44}"/>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3-5BEB-4D47-B06A-407FCE89A136}"/>
              </c:ext>
            </c:extLst>
          </c:dPt>
          <c:dPt>
            <c:idx val="4"/>
            <c:invertIfNegative val="0"/>
            <c:bubble3D val="0"/>
            <c:spPr>
              <a:solidFill>
                <a:schemeClr val="accent4"/>
              </a:solidFill>
              <a:ln>
                <a:noFill/>
              </a:ln>
              <a:effectLst/>
            </c:spPr>
            <c:extLst>
              <c:ext xmlns:c16="http://schemas.microsoft.com/office/drawing/2014/chart" uri="{C3380CC4-5D6E-409C-BE32-E72D297353CC}">
                <c16:uniqueId val="{00000005-5BEB-4D47-B06A-407FCE89A1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(Ergebnisse!$K$57:$K$59,Ergebnisse!$K$62:$K$63,Ergebnisse!$K$66:$K$72)</c:f>
              <c:strCache>
                <c:ptCount val="12"/>
                <c:pt idx="0">
                  <c:v>Scope 1.1: Emissionen aus stationärer Verbrennung</c:v>
                </c:pt>
                <c:pt idx="1">
                  <c:v>Scope 1.2: Emissionen aus mobiler Verbrennung</c:v>
                </c:pt>
                <c:pt idx="2">
                  <c:v>Scope 1.4: Emissionen aus Verflüchtigungen</c:v>
                </c:pt>
                <c:pt idx="3">
                  <c:v>Scope 2.1: Emissionen aus zugekauftem und 
verbrauchtem Strom</c:v>
                </c:pt>
                <c:pt idx="4">
                  <c:v>Scope 2.2: Emissionen aus weiterer zugekaufter Energie 
(Wärme, Kälte, Dampf, Wasser)</c:v>
                </c:pt>
                <c:pt idx="5">
                  <c:v>Scope 3.1: Eingekaufte Waren und Dienstleistungen</c:v>
                </c:pt>
                <c:pt idx="6">
                  <c:v>Scope 3.3: Brennstoff und energiebezogene Emissionen 
(nicht in Scope 1 und 2 enthalten)</c:v>
                </c:pt>
                <c:pt idx="7">
                  <c:v>Scope 3.4: Transport und Verteilung (vorgelagert)</c:v>
                </c:pt>
                <c:pt idx="8">
                  <c:v>Scope 3.5: Abfall</c:v>
                </c:pt>
                <c:pt idx="9">
                  <c:v>Scope 3.6: Geschäftsreisen</c:v>
                </c:pt>
                <c:pt idx="10">
                  <c:v>Scope 3.7: Pendeln der Mitarbeitenden</c:v>
                </c:pt>
                <c:pt idx="11">
                  <c:v>Scope 3.9: Transport und Verteilung (nachgelagert)</c:v>
                </c:pt>
              </c:strCache>
            </c:strRef>
          </c:cat>
          <c:val>
            <c:numRef>
              <c:f>(Ergebnisse!$F$177:$F$179,Ergebnisse!$F$182:$F$183,Ergebnisse!$F$186:$F$192)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BEB-4D47-B06A-407FCE89A136}"/>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alpha val="96000"/>
              </a:srgb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a:t>Treibhausgasemissionen [t CO2e]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solidFill>
                  <a:srgbClr val="595959"/>
                </a:solidFill>
              </a:rPr>
              <a:t>Emissionen nach Thema - </a:t>
            </a:r>
            <a:r>
              <a:rPr lang="de-DE" sz="1200" b="1" i="0" u="none" strike="noStrike" kern="1200" spc="0" baseline="0">
                <a:solidFill>
                  <a:srgbClr val="595959"/>
                </a:solidFill>
              </a:rPr>
              <a:t>KlimaBilanzKultur+ (KBK+) </a:t>
            </a:r>
            <a:endParaRPr lang="de-DE" sz="1200" b="1">
              <a:solidFill>
                <a:srgbClr val="595959"/>
              </a:solidFill>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manualLayout>
          <c:layoutTarget val="inner"/>
          <c:xMode val="edge"/>
          <c:yMode val="edge"/>
          <c:x val="0.23413343747616663"/>
          <c:y val="0.34258804085592975"/>
          <c:w val="0.7305299509163472"/>
          <c:h val="0.50543867097007811"/>
        </c:manualLayout>
      </c:layout>
      <c:barChart>
        <c:barDir val="bar"/>
        <c:grouping val="clustered"/>
        <c:varyColors val="0"/>
        <c:ser>
          <c:idx val="0"/>
          <c:order val="0"/>
          <c:spPr>
            <a:solidFill>
              <a:srgbClr val="5ABE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Ergebnisse!$C$158:$C$161</c:f>
              <c:strCache>
                <c:ptCount val="4"/>
                <c:pt idx="0">
                  <c:v>Anreise der Besuchenden</c:v>
                </c:pt>
                <c:pt idx="1">
                  <c:v>Einkauf Medien</c:v>
                </c:pt>
                <c:pt idx="2">
                  <c:v>IT-Dienstleistungen</c:v>
                </c:pt>
                <c:pt idx="3">
                  <c:v>Relevante Stoffströme</c:v>
                </c:pt>
              </c:strCache>
            </c:strRef>
          </c:cat>
          <c:val>
            <c:numRef>
              <c:f>Ergebnisse!$G$158:$G$161</c:f>
              <c:numCache>
                <c:formatCode>#,##0.0</c:formatCode>
                <c:ptCount val="4"/>
                <c:pt idx="0">
                  <c:v>0</c:v>
                </c:pt>
                <c:pt idx="1">
                  <c:v>0</c:v>
                </c:pt>
                <c:pt idx="2">
                  <c:v>0</c:v>
                </c:pt>
                <c:pt idx="3">
                  <c:v>0</c:v>
                </c:pt>
              </c:numCache>
            </c:numRef>
          </c:val>
          <c:extLst>
            <c:ext xmlns:c16="http://schemas.microsoft.com/office/drawing/2014/chart" uri="{C3380CC4-5D6E-409C-BE32-E72D297353CC}">
              <c16:uniqueId val="{00000000-36F2-4EEE-A3D2-951C0807EBC1}"/>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Treibhausgasemissionen [t CO2e]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solidFill>
                  <a:srgbClr val="595959"/>
                </a:solidFill>
              </a:rPr>
              <a:t>Emissionen nach Thema - </a:t>
            </a:r>
            <a:r>
              <a:rPr lang="de-DE" sz="1200" b="1" i="0" u="none" strike="noStrike" kern="1200" spc="0" baseline="0">
                <a:solidFill>
                  <a:srgbClr val="595959"/>
                </a:solidFill>
              </a:rPr>
              <a:t>KBK und KBK+</a:t>
            </a:r>
            <a:endParaRPr lang="de-DE" sz="1200" b="1">
              <a:solidFill>
                <a:srgbClr val="595959"/>
              </a:solidFill>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bar"/>
        <c:grouping val="clustered"/>
        <c:varyColors val="0"/>
        <c:ser>
          <c:idx val="0"/>
          <c:order val="0"/>
          <c:spPr>
            <a:solidFill>
              <a:srgbClr val="4472C4"/>
            </a:solidFill>
            <a:ln>
              <a:noFill/>
            </a:ln>
            <a:effectLst/>
          </c:spPr>
          <c:invertIfNegative val="0"/>
          <c:dPt>
            <c:idx val="8"/>
            <c:invertIfNegative val="0"/>
            <c:bubble3D val="0"/>
            <c:spPr>
              <a:solidFill>
                <a:srgbClr val="5ABEFF"/>
              </a:solidFill>
              <a:ln>
                <a:noFill/>
              </a:ln>
              <a:effectLst/>
            </c:spPr>
            <c:extLst>
              <c:ext xmlns:c16="http://schemas.microsoft.com/office/drawing/2014/chart" uri="{C3380CC4-5D6E-409C-BE32-E72D297353CC}">
                <c16:uniqueId val="{00000000-17E6-4082-B8A8-04EDEAD86E05}"/>
              </c:ext>
            </c:extLst>
          </c:dPt>
          <c:dPt>
            <c:idx val="9"/>
            <c:invertIfNegative val="0"/>
            <c:bubble3D val="0"/>
            <c:spPr>
              <a:solidFill>
                <a:srgbClr val="5ABEFF"/>
              </a:solidFill>
              <a:ln>
                <a:noFill/>
              </a:ln>
              <a:effectLst/>
            </c:spPr>
            <c:extLst>
              <c:ext xmlns:c16="http://schemas.microsoft.com/office/drawing/2014/chart" uri="{C3380CC4-5D6E-409C-BE32-E72D297353CC}">
                <c16:uniqueId val="{00000001-17E6-4082-B8A8-04EDEAD86E05}"/>
              </c:ext>
            </c:extLst>
          </c:dPt>
          <c:dPt>
            <c:idx val="10"/>
            <c:invertIfNegative val="0"/>
            <c:bubble3D val="0"/>
            <c:spPr>
              <a:solidFill>
                <a:srgbClr val="5ABEFF"/>
              </a:solidFill>
              <a:ln>
                <a:noFill/>
              </a:ln>
              <a:effectLst/>
            </c:spPr>
            <c:extLst>
              <c:ext xmlns:c16="http://schemas.microsoft.com/office/drawing/2014/chart" uri="{C3380CC4-5D6E-409C-BE32-E72D297353CC}">
                <c16:uniqueId val="{00000002-17E6-4082-B8A8-04EDEAD86E05}"/>
              </c:ext>
            </c:extLst>
          </c:dPt>
          <c:dPt>
            <c:idx val="11"/>
            <c:invertIfNegative val="0"/>
            <c:bubble3D val="0"/>
            <c:spPr>
              <a:solidFill>
                <a:srgbClr val="5ABEFF"/>
              </a:solidFill>
              <a:ln>
                <a:noFill/>
              </a:ln>
              <a:effectLst/>
            </c:spPr>
            <c:extLst>
              <c:ext xmlns:c16="http://schemas.microsoft.com/office/drawing/2014/chart" uri="{C3380CC4-5D6E-409C-BE32-E72D297353CC}">
                <c16:uniqueId val="{00000003-17E6-4082-B8A8-04EDEAD86E0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(Ergebnisse!$C$149:$C$156,Ergebnisse!$C$158:$C$161)</c:f>
              <c:strCache>
                <c:ptCount val="12"/>
                <c:pt idx="0">
                  <c:v>Wärme</c:v>
                </c:pt>
                <c:pt idx="1">
                  <c:v>Strom</c:v>
                </c:pt>
                <c:pt idx="2">
                  <c:v>Kühl- und Kältemittel</c:v>
                </c:pt>
                <c:pt idx="3">
                  <c:v>Fuhrpark</c:v>
                </c:pt>
                <c:pt idx="4">
                  <c:v>Geschäftsreisen</c:v>
                </c:pt>
                <c:pt idx="5">
                  <c:v>Pendeln der Mitarbeitenden</c:v>
                </c:pt>
                <c:pt idx="6">
                  <c:v>Externe</c:v>
                </c:pt>
                <c:pt idx="7">
                  <c:v>Warentransporte</c:v>
                </c:pt>
                <c:pt idx="8">
                  <c:v>Anreise der Besuchenden</c:v>
                </c:pt>
                <c:pt idx="9">
                  <c:v>Einkauf Medien</c:v>
                </c:pt>
                <c:pt idx="10">
                  <c:v>IT-Dienstleistungen</c:v>
                </c:pt>
                <c:pt idx="11">
                  <c:v>Relevante Stoffströme</c:v>
                </c:pt>
              </c:strCache>
            </c:strRef>
          </c:cat>
          <c:val>
            <c:numRef>
              <c:f>(Ergebnisse!$G$149:$G$156,Ergebnisse!$G$158:$G$161)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A3A-4162-BE43-AFA75F878F10}"/>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Treibhausgasemissionen [t CO2e]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solidFill>
                  <a:srgbClr val="595959"/>
                </a:solidFill>
              </a:rPr>
              <a:t>Emissionen nach Thema - </a:t>
            </a:r>
            <a:r>
              <a:rPr lang="de-DE" sz="1200" b="1" i="0" u="none" strike="noStrike" kern="1200" spc="0" baseline="0">
                <a:solidFill>
                  <a:srgbClr val="595959"/>
                </a:solidFill>
              </a:rPr>
              <a:t>KlimaBilanzKultur (KBK) </a:t>
            </a:r>
            <a:endParaRPr lang="de-DE" sz="1200" b="1">
              <a:solidFill>
                <a:srgbClr val="595959"/>
              </a:solidFill>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bar"/>
        <c:grouping val="clustered"/>
        <c:varyColors val="0"/>
        <c:ser>
          <c:idx val="0"/>
          <c:order val="0"/>
          <c:spPr>
            <a:solidFill>
              <a:srgbClr val="4472C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Ergebnisse!$C$149:$C$156</c:f>
              <c:strCache>
                <c:ptCount val="8"/>
                <c:pt idx="0">
                  <c:v>Wärme</c:v>
                </c:pt>
                <c:pt idx="1">
                  <c:v>Strom</c:v>
                </c:pt>
                <c:pt idx="2">
                  <c:v>Kühl- und Kältemittel</c:v>
                </c:pt>
                <c:pt idx="3">
                  <c:v>Fuhrpark</c:v>
                </c:pt>
                <c:pt idx="4">
                  <c:v>Geschäftsreisen</c:v>
                </c:pt>
                <c:pt idx="5">
                  <c:v>Pendeln der Mitarbeitenden</c:v>
                </c:pt>
                <c:pt idx="6">
                  <c:v>Externe</c:v>
                </c:pt>
                <c:pt idx="7">
                  <c:v>Warentransporte</c:v>
                </c:pt>
              </c:strCache>
            </c:strRef>
          </c:cat>
          <c:val>
            <c:numRef>
              <c:f>Ergebnisse!$G$149:$G$156</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F4BB-4A4E-95D1-EAFDDB2EBD0E}"/>
            </c:ext>
          </c:extLst>
        </c:ser>
        <c:dLbls>
          <c:showLegendKey val="0"/>
          <c:showVal val="0"/>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Treibhausgasemissionen [t CO2e]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solidFill>
                  <a:srgbClr val="595959"/>
                </a:solidFill>
              </a:rPr>
              <a:t>Gesamtemissionen - </a:t>
            </a:r>
            <a:r>
              <a:rPr lang="de-DE" sz="1200" b="1" i="0" u="none" strike="noStrike" kern="1200" spc="0" baseline="0">
                <a:solidFill>
                  <a:srgbClr val="595959"/>
                </a:solidFill>
              </a:rPr>
              <a:t>KlimaBilanzKultur (KBK) </a:t>
            </a:r>
            <a:br>
              <a:rPr lang="en-US" sz="1200">
                <a:solidFill>
                  <a:srgbClr val="595959"/>
                </a:solidFill>
              </a:rPr>
            </a:br>
            <a:r>
              <a:rPr lang="en-US" sz="1200">
                <a:solidFill>
                  <a:srgbClr val="595959"/>
                </a:solidFill>
              </a:rPr>
              <a:t>[t CO2e]</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30663101487314087"/>
          <c:y val="0.198034385905307"/>
          <c:w val="0.39507152230971126"/>
          <c:h val="0.65564039628801229"/>
        </c:manualLayout>
      </c:layout>
      <c:doughnut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9089-4507-B7F7-5351EF6F6CCA}"/>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9089-4507-B7F7-5351EF6F6CCA}"/>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9089-4507-B7F7-5351EF6F6CCA}"/>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089-4507-B7F7-5351EF6F6CC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(Ergebnisse!$C$180,Ergebnisse!$C$184,Ergebnisse!$C$193)</c:f>
              <c:strCache>
                <c:ptCount val="3"/>
                <c:pt idx="0">
                  <c:v>Scope 1</c:v>
                </c:pt>
                <c:pt idx="1">
                  <c:v>Scope 2</c:v>
                </c:pt>
                <c:pt idx="2">
                  <c:v>Scope 3</c:v>
                </c:pt>
              </c:strCache>
            </c:strRef>
          </c:cat>
          <c:val>
            <c:numRef>
              <c:f>(Ergebnisse!$D$180,Ergebnisse!$D$184,Ergebnisse!$D$193)</c:f>
              <c:numCache>
                <c:formatCode>#,##0.0</c:formatCode>
                <c:ptCount val="3"/>
                <c:pt idx="0">
                  <c:v>0</c:v>
                </c:pt>
                <c:pt idx="1">
                  <c:v>0</c:v>
                </c:pt>
                <c:pt idx="2">
                  <c:v>0</c:v>
                </c:pt>
              </c:numCache>
            </c:numRef>
          </c:val>
          <c:extLst>
            <c:ext xmlns:c16="http://schemas.microsoft.com/office/drawing/2014/chart" uri="{C3380CC4-5D6E-409C-BE32-E72D297353CC}">
              <c16:uniqueId val="{00000006-9089-4507-B7F7-5351EF6F6CCA}"/>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solidFill>
                  <a:srgbClr val="595959"/>
                </a:solidFill>
              </a:rPr>
              <a:t>Gesamtemissionen - </a:t>
            </a:r>
            <a:r>
              <a:rPr lang="de-DE" sz="1200" b="1" i="0" u="none" strike="noStrike" kern="1200" spc="0" baseline="0">
                <a:solidFill>
                  <a:srgbClr val="595959"/>
                </a:solidFill>
              </a:rPr>
              <a:t>KBK und KBK+</a:t>
            </a:r>
            <a:br>
              <a:rPr lang="en-US" sz="1200">
                <a:solidFill>
                  <a:srgbClr val="595959"/>
                </a:solidFill>
              </a:rPr>
            </a:br>
            <a:r>
              <a:rPr lang="en-US" sz="1200">
                <a:solidFill>
                  <a:srgbClr val="595959"/>
                </a:solidFill>
              </a:rPr>
              <a:t>[t CO2e]</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30663101487314087"/>
          <c:y val="0.198034385905307"/>
          <c:w val="0.39507152230971126"/>
          <c:h val="0.65564039628801229"/>
        </c:manualLayout>
      </c:layout>
      <c:doughnut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689D-4D74-B4F6-0A394FB6D439}"/>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689D-4D74-B4F6-0A394FB6D439}"/>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689D-4D74-B4F6-0A394FB6D43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(Ergebnisse!$C$180,Ergebnisse!$C$184,Ergebnisse!$C$193)</c:f>
              <c:strCache>
                <c:ptCount val="3"/>
                <c:pt idx="0">
                  <c:v>Scope 1</c:v>
                </c:pt>
                <c:pt idx="1">
                  <c:v>Scope 2</c:v>
                </c:pt>
                <c:pt idx="2">
                  <c:v>Scope 3</c:v>
                </c:pt>
              </c:strCache>
            </c:strRef>
          </c:cat>
          <c:val>
            <c:numRef>
              <c:f>(Ergebnisse!$F$180,Ergebnisse!$F$184,Ergebnisse!$F$193)</c:f>
              <c:numCache>
                <c:formatCode>#,##0.0</c:formatCode>
                <c:ptCount val="3"/>
                <c:pt idx="0">
                  <c:v>0</c:v>
                </c:pt>
                <c:pt idx="1">
                  <c:v>0</c:v>
                </c:pt>
                <c:pt idx="2">
                  <c:v>0</c:v>
                </c:pt>
              </c:numCache>
            </c:numRef>
          </c:val>
          <c:extLst>
            <c:ext xmlns:c16="http://schemas.microsoft.com/office/drawing/2014/chart" uri="{C3380CC4-5D6E-409C-BE32-E72D297353CC}">
              <c16:uniqueId val="{00000006-689D-4D74-B4F6-0A394FB6D439}"/>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r>
              <a:rPr lang="de-DE" sz="1200" b="1" i="0" u="none" strike="noStrike" kern="1200" spc="0" baseline="0">
                <a:solidFill>
                  <a:sysClr val="windowText" lastClr="000000">
                    <a:lumMod val="65000"/>
                    <a:lumOff val="35000"/>
                  </a:sysClr>
                </a:solidFill>
                <a:latin typeface="+mn-lt"/>
                <a:ea typeface="+mn-ea"/>
                <a:cs typeface="+mn-cs"/>
              </a:rPr>
              <a:t>Stromverbrauch nach Quelle</a:t>
            </a:r>
          </a:p>
        </c:rich>
      </c:tx>
      <c:overlay val="0"/>
      <c:spPr>
        <a:noFill/>
        <a:ln>
          <a:noFill/>
        </a:ln>
        <a:effectLst/>
      </c:spPr>
      <c:txPr>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manualLayout>
          <c:layoutTarget val="inner"/>
          <c:xMode val="edge"/>
          <c:yMode val="edge"/>
          <c:x val="0.31904373087823984"/>
          <c:y val="0.438301600557223"/>
          <c:w val="0.63926857794370306"/>
          <c:h val="0.2930990784670534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Ergebnisse!$C$119</c:f>
              <c:strCache>
                <c:ptCount val="1"/>
                <c:pt idx="0">
                  <c:v>Strombezug (Deutschland) - Netzbezug</c:v>
                </c:pt>
              </c:strCache>
            </c:strRef>
          </c:cat>
          <c:val>
            <c:numRef>
              <c:f>Ergebnisse!$D$119</c:f>
              <c:numCache>
                <c:formatCode>#,##0.0</c:formatCode>
                <c:ptCount val="1"/>
                <c:pt idx="0">
                  <c:v>0</c:v>
                </c:pt>
              </c:numCache>
            </c:numRef>
          </c:val>
          <c:extLst>
            <c:ext xmlns:c16="http://schemas.microsoft.com/office/drawing/2014/chart" uri="{C3380CC4-5D6E-409C-BE32-E72D297353CC}">
              <c16:uniqueId val="{00000000-4B84-4F92-8ADD-A06E4B27D811}"/>
            </c:ext>
          </c:extLst>
        </c:ser>
        <c:dLbls>
          <c:showLegendKey val="0"/>
          <c:showVal val="0"/>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Stromverbrauch [MWh]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r>
              <a:rPr lang="de-DE" sz="1200" b="1" i="0" u="none" strike="noStrike" kern="1200" spc="0" baseline="0">
                <a:solidFill>
                  <a:sysClr val="windowText" lastClr="000000">
                    <a:lumMod val="65000"/>
                    <a:lumOff val="35000"/>
                  </a:sysClr>
                </a:solidFill>
                <a:latin typeface="+mn-lt"/>
                <a:ea typeface="+mn-ea"/>
                <a:cs typeface="+mn-cs"/>
              </a:rPr>
              <a:t>Stromerzeugung nach Quelle</a:t>
            </a:r>
          </a:p>
        </c:rich>
      </c:tx>
      <c:overlay val="0"/>
      <c:spPr>
        <a:noFill/>
        <a:ln>
          <a:noFill/>
        </a:ln>
        <a:effectLst/>
      </c:spPr>
      <c:txPr>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manualLayout>
          <c:layoutTarget val="inner"/>
          <c:xMode val="edge"/>
          <c:yMode val="edge"/>
          <c:x val="0.30885860012554922"/>
          <c:y val="0.33470989842281801"/>
          <c:w val="0.64352730696798488"/>
          <c:h val="0.5095447661187366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Ergebnisse!$C$124:$C$125</c:f>
              <c:strCache>
                <c:ptCount val="2"/>
                <c:pt idx="0">
                  <c:v>Diesel-Notstromaggregat</c:v>
                </c:pt>
                <c:pt idx="1">
                  <c:v>Strom Eigenerzeugung (Photovoltaik)</c:v>
                </c:pt>
              </c:strCache>
            </c:strRef>
          </c:cat>
          <c:val>
            <c:numRef>
              <c:f>Ergebnisse!$D$124:$D$125</c:f>
              <c:numCache>
                <c:formatCode>#,##0.0</c:formatCode>
                <c:ptCount val="2"/>
                <c:pt idx="0">
                  <c:v>0</c:v>
                </c:pt>
                <c:pt idx="1">
                  <c:v>0</c:v>
                </c:pt>
              </c:numCache>
            </c:numRef>
          </c:val>
          <c:extLst>
            <c:ext xmlns:c16="http://schemas.microsoft.com/office/drawing/2014/chart" uri="{C3380CC4-5D6E-409C-BE32-E72D297353CC}">
              <c16:uniqueId val="{00000000-881A-4A5B-B16B-35C23504ADCC}"/>
            </c:ext>
          </c:extLst>
        </c:ser>
        <c:dLbls>
          <c:showLegendKey val="0"/>
          <c:showVal val="0"/>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Stromerzeugung [MWh]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r>
              <a:rPr lang="de-DE" sz="1200" b="1" i="0" u="none" strike="noStrike" kern="1200" spc="0" baseline="0">
                <a:solidFill>
                  <a:sysClr val="windowText" lastClr="000000">
                    <a:lumMod val="65000"/>
                    <a:lumOff val="35000"/>
                  </a:sysClr>
                </a:solidFill>
                <a:latin typeface="+mn-lt"/>
                <a:ea typeface="+mn-ea"/>
                <a:cs typeface="+mn-cs"/>
              </a:rPr>
              <a:t>Wärmeverbrauch nach Quelle</a:t>
            </a:r>
          </a:p>
        </c:rich>
      </c:tx>
      <c:overlay val="0"/>
      <c:spPr>
        <a:noFill/>
        <a:ln>
          <a:noFill/>
        </a:ln>
        <a:effectLst/>
      </c:spPr>
      <c:txPr>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manualLayout>
          <c:layoutTarget val="inner"/>
          <c:xMode val="edge"/>
          <c:yMode val="edge"/>
          <c:x val="0.13288035352883595"/>
          <c:y val="0.21270286522459209"/>
          <c:w val="0.81928938563663201"/>
          <c:h val="0.6883234287288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Ergebnisse!$C$224:$C$231</c:f>
              <c:strCache>
                <c:ptCount val="8"/>
                <c:pt idx="0">
                  <c:v>Erdgas</c:v>
                </c:pt>
                <c:pt idx="1">
                  <c:v>Biogas</c:v>
                </c:pt>
                <c:pt idx="2">
                  <c:v>Biomethan</c:v>
                </c:pt>
                <c:pt idx="3">
                  <c:v>Heizöl</c:v>
                </c:pt>
                <c:pt idx="4">
                  <c:v>Sonstiges</c:v>
                </c:pt>
                <c:pt idx="5">
                  <c:v>Fernwärme</c:v>
                </c:pt>
                <c:pt idx="6">
                  <c:v>Holzpellets</c:v>
                </c:pt>
                <c:pt idx="7">
                  <c:v>Solarthermie</c:v>
                </c:pt>
              </c:strCache>
            </c:strRef>
          </c:cat>
          <c:val>
            <c:numRef>
              <c:f>Ergebnisse!$D$224:$D$231</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46BF-40EF-84D1-88B9656ED708}"/>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Wärmeverbrauch [MWh]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r>
              <a:rPr lang="de-DE" sz="1200" b="1" i="0" u="none" strike="noStrike" kern="1200" spc="0" baseline="0">
                <a:solidFill>
                  <a:sysClr val="windowText" lastClr="000000">
                    <a:lumMod val="65000"/>
                    <a:lumOff val="35000"/>
                  </a:sysClr>
                </a:solidFill>
                <a:latin typeface="+mn-lt"/>
                <a:ea typeface="+mn-ea"/>
                <a:cs typeface="+mn-cs"/>
              </a:rPr>
              <a:t>Stromverbrauch nach Quelle</a:t>
            </a:r>
          </a:p>
        </c:rich>
      </c:tx>
      <c:overlay val="0"/>
      <c:spPr>
        <a:noFill/>
        <a:ln>
          <a:noFill/>
        </a:ln>
        <a:effectLst/>
      </c:spPr>
      <c:txPr>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manualLayout>
          <c:layoutTarget val="inner"/>
          <c:xMode val="edge"/>
          <c:yMode val="edge"/>
          <c:x val="0.38935385706024622"/>
          <c:y val="0.438301600557223"/>
          <c:w val="0.57498502367722792"/>
          <c:h val="0.2930990784670534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Ergebnisse!$C$236</c:f>
              <c:strCache>
                <c:ptCount val="1"/>
                <c:pt idx="0">
                  <c:v>Strombezug (Deutschland) - Netzbezug</c:v>
                </c:pt>
              </c:strCache>
            </c:strRef>
          </c:cat>
          <c:val>
            <c:numRef>
              <c:f>Ergebnisse!$D$236</c:f>
              <c:numCache>
                <c:formatCode>#,##0.0</c:formatCode>
                <c:ptCount val="1"/>
                <c:pt idx="0">
                  <c:v>0</c:v>
                </c:pt>
              </c:numCache>
            </c:numRef>
          </c:val>
          <c:extLst>
            <c:ext xmlns:c16="http://schemas.microsoft.com/office/drawing/2014/chart" uri="{C3380CC4-5D6E-409C-BE32-E72D297353CC}">
              <c16:uniqueId val="{00000000-605F-4E62-A620-3CA7E5E08FC7}"/>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Stromverbrauch [MWh]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solidFill>
                  <a:srgbClr val="595959"/>
                </a:solidFill>
              </a:rPr>
              <a:t>Gesamtemissionen nach Scope - </a:t>
            </a:r>
            <a:r>
              <a:rPr lang="de-DE" sz="1200" b="1" i="0" u="none" strike="noStrike" kern="1200" spc="0" baseline="0">
                <a:solidFill>
                  <a:srgbClr val="595959"/>
                </a:solidFill>
              </a:rPr>
              <a:t>KlimaBilanzKultur (KBK)</a:t>
            </a:r>
            <a:endParaRPr lang="de-DE" sz="1200" b="1">
              <a:solidFill>
                <a:srgbClr val="595959"/>
              </a:solidFill>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1-0FF2-42D6-BB53-EDAC07A22F33}"/>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0FF2-42D6-BB53-EDAC07A22F33}"/>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5-0FF2-42D6-BB53-EDAC07A22F33}"/>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0FF2-42D6-BB53-EDAC07A22F33}"/>
              </c:ext>
            </c:extLst>
          </c:dPt>
          <c:dPt>
            <c:idx val="4"/>
            <c:invertIfNegative val="0"/>
            <c:bubble3D val="0"/>
            <c:spPr>
              <a:solidFill>
                <a:schemeClr val="accent4"/>
              </a:solidFill>
              <a:ln>
                <a:noFill/>
              </a:ln>
              <a:effectLst/>
            </c:spPr>
            <c:extLst>
              <c:ext xmlns:c16="http://schemas.microsoft.com/office/drawing/2014/chart" uri="{C3380CC4-5D6E-409C-BE32-E72D297353CC}">
                <c16:uniqueId val="{00000009-0FF2-42D6-BB53-EDAC07A22F3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(Ergebnisse!$K$57:$K$59,Ergebnisse!$K$62:$K$63,Ergebnisse!$K$66:$K$72)</c15:sqref>
                  </c15:fullRef>
                </c:ext>
              </c:extLst>
              <c:f>(Ergebnisse!$K$57:$K$59,Ergebnisse!$K$62:$K$63,Ergebnisse!$K$66:$K$68,Ergebnisse!$K$70:$K$71)</c:f>
              <c:strCache>
                <c:ptCount val="10"/>
                <c:pt idx="0">
                  <c:v>Scope 1.1: Emissionen aus stationärer Verbrennung</c:v>
                </c:pt>
                <c:pt idx="1">
                  <c:v>Scope 1.2: Emissionen aus mobiler Verbrennung</c:v>
                </c:pt>
                <c:pt idx="2">
                  <c:v>Scope 1.4: Emissionen aus Verflüchtigungen</c:v>
                </c:pt>
                <c:pt idx="3">
                  <c:v>Scope 2.1: Emissionen aus zugekauftem und 
verbrauchtem Strom</c:v>
                </c:pt>
                <c:pt idx="4">
                  <c:v>Scope 2.2: Emissionen aus weiterer zugekaufter Energie 
(Wärme, Kälte, Dampf, Wasser)</c:v>
                </c:pt>
                <c:pt idx="5">
                  <c:v>Scope 3.1: Eingekaufte Waren und Dienstleistungen</c:v>
                </c:pt>
                <c:pt idx="6">
                  <c:v>Scope 3.3: Brennstoff und energiebezogene Emissionen 
(nicht in Scope 1 und 2 enthalten)</c:v>
                </c:pt>
                <c:pt idx="7">
                  <c:v>Scope 3.4: Transport und Verteilung (vorgelagert)</c:v>
                </c:pt>
                <c:pt idx="8">
                  <c:v>Scope 3.6: Geschäftsreisen</c:v>
                </c:pt>
                <c:pt idx="9">
                  <c:v>Scope 3.7: Pendeln der Mitarbeitenden</c:v>
                </c:pt>
              </c:strCache>
            </c:strRef>
          </c:cat>
          <c:val>
            <c:numRef>
              <c:extLst>
                <c:ext xmlns:c15="http://schemas.microsoft.com/office/drawing/2012/chart" uri="{02D57815-91ED-43cb-92C2-25804820EDAC}">
                  <c15:fullRef>
                    <c15:sqref>(Ergebnisse!$D$57:$D$59,Ergebnisse!$D$62:$D$63,Ergebnisse!$D$66:$D$72)</c15:sqref>
                  </c15:fullRef>
                </c:ext>
              </c:extLst>
              <c:f>(Ergebnisse!$D$57:$D$59,Ergebnisse!$D$62:$D$63,Ergebnisse!$D$66:$D$68,Ergebnisse!$D$70:$D$71)</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C-0FF2-42D6-BB53-EDAC07A22F33}"/>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a:t>Treibhausgasemissionen [t CO2e]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r>
              <a:rPr lang="de-DE" sz="1200" b="1" i="0" u="none" strike="noStrike" kern="1200" spc="0" baseline="0">
                <a:solidFill>
                  <a:sysClr val="windowText" lastClr="000000">
                    <a:lumMod val="65000"/>
                    <a:lumOff val="35000"/>
                  </a:sysClr>
                </a:solidFill>
                <a:latin typeface="+mn-lt"/>
                <a:ea typeface="+mn-ea"/>
                <a:cs typeface="+mn-cs"/>
              </a:rPr>
              <a:t>Stromerzeugung nach Quelle</a:t>
            </a:r>
          </a:p>
        </c:rich>
      </c:tx>
      <c:overlay val="0"/>
      <c:spPr>
        <a:noFill/>
        <a:ln>
          <a:noFill/>
        </a:ln>
        <a:effectLst/>
      </c:spPr>
      <c:txPr>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manualLayout>
          <c:layoutTarget val="inner"/>
          <c:xMode val="edge"/>
          <c:yMode val="edge"/>
          <c:x val="0.30885860012554922"/>
          <c:y val="0.33470989842281801"/>
          <c:w val="0.64352730696798488"/>
          <c:h val="0.5095447661187366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Ergebnisse!$C$241:$C$242</c:f>
              <c:strCache>
                <c:ptCount val="2"/>
                <c:pt idx="0">
                  <c:v>Diesel-Notstromaggregat</c:v>
                </c:pt>
                <c:pt idx="1">
                  <c:v>Strom Eigenerzeugung (Photovoltaik)</c:v>
                </c:pt>
              </c:strCache>
            </c:strRef>
          </c:cat>
          <c:val>
            <c:numRef>
              <c:f>Ergebnisse!$D$241:$D$242</c:f>
              <c:numCache>
                <c:formatCode>#,##0.0</c:formatCode>
                <c:ptCount val="2"/>
                <c:pt idx="0">
                  <c:v>0</c:v>
                </c:pt>
                <c:pt idx="1">
                  <c:v>0</c:v>
                </c:pt>
              </c:numCache>
            </c:numRef>
          </c:val>
          <c:extLst>
            <c:ext xmlns:c16="http://schemas.microsoft.com/office/drawing/2014/chart" uri="{C3380CC4-5D6E-409C-BE32-E72D297353CC}">
              <c16:uniqueId val="{00000000-F7FD-450C-B9F1-47A0BC7640E4}"/>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Stromerzeugung [MWh]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r>
              <a:rPr lang="de-DE" sz="1200" b="1" i="0" u="none" strike="noStrike" kern="1200" spc="0" baseline="0">
                <a:solidFill>
                  <a:sysClr val="windowText" lastClr="000000">
                    <a:lumMod val="65000"/>
                    <a:lumOff val="35000"/>
                  </a:sysClr>
                </a:solidFill>
                <a:latin typeface="+mn-lt"/>
                <a:ea typeface="+mn-ea"/>
                <a:cs typeface="+mn-cs"/>
              </a:rPr>
              <a:t>Wärmeverbrauch nach Quelle</a:t>
            </a:r>
          </a:p>
        </c:rich>
      </c:tx>
      <c:overlay val="0"/>
      <c:spPr>
        <a:noFill/>
        <a:ln>
          <a:noFill/>
        </a:ln>
        <a:effectLst/>
      </c:spPr>
      <c:txPr>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manualLayout>
          <c:layoutTarget val="inner"/>
          <c:xMode val="edge"/>
          <c:yMode val="edge"/>
          <c:x val="0.13288035352883595"/>
          <c:y val="0.21270286522459209"/>
          <c:w val="0.81928938563663201"/>
          <c:h val="0.6883234287288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Ergebnisse!$C$107:$C$114</c:f>
              <c:strCache>
                <c:ptCount val="8"/>
                <c:pt idx="0">
                  <c:v>Erdgas</c:v>
                </c:pt>
                <c:pt idx="1">
                  <c:v>Biogas</c:v>
                </c:pt>
                <c:pt idx="2">
                  <c:v>Biomethan</c:v>
                </c:pt>
                <c:pt idx="3">
                  <c:v>Heizöl</c:v>
                </c:pt>
                <c:pt idx="4">
                  <c:v>Flüssiggas</c:v>
                </c:pt>
                <c:pt idx="5">
                  <c:v>Fernwärme</c:v>
                </c:pt>
                <c:pt idx="6">
                  <c:v>Holzpellets</c:v>
                </c:pt>
                <c:pt idx="7">
                  <c:v>Solarthermie</c:v>
                </c:pt>
              </c:strCache>
            </c:strRef>
          </c:cat>
          <c:val>
            <c:numRef>
              <c:f>Ergebnisse!$D$107:$D$114</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F3CB-4D26-94E5-30986810C8D4}"/>
            </c:ext>
          </c:extLst>
        </c:ser>
        <c:dLbls>
          <c:showLegendKey val="0"/>
          <c:showVal val="0"/>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Wärmeverbrauch [MWh]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solidFill>
                  <a:srgbClr val="595959"/>
                </a:solidFill>
              </a:rPr>
              <a:t>Gesamtemissionen nach Scope - </a:t>
            </a:r>
            <a:r>
              <a:rPr lang="de-DE" sz="1200" b="1">
                <a:solidFill>
                  <a:srgbClr val="595959"/>
                </a:solidFill>
              </a:rPr>
              <a:t>KlimaBilanzKultur (KBK)</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C-D39E-4B52-A2A5-66A78841BDC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E-D39E-4B52-A2A5-66A78841BDC1}"/>
              </c:ext>
            </c:extLst>
          </c:dPt>
          <c:dPt>
            <c:idx val="2"/>
            <c:invertIfNegative val="0"/>
            <c:bubble3D val="0"/>
            <c:spPr>
              <a:solidFill>
                <a:schemeClr val="accent2"/>
              </a:solidFill>
              <a:ln>
                <a:noFill/>
              </a:ln>
              <a:effectLst/>
            </c:spPr>
            <c:extLst>
              <c:ext xmlns:c16="http://schemas.microsoft.com/office/drawing/2014/chart" uri="{C3380CC4-5D6E-409C-BE32-E72D297353CC}">
                <c16:uniqueId val="{00000010-D39E-4B52-A2A5-66A78841BDC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12-D39E-4B52-A2A5-66A78841BDC1}"/>
              </c:ext>
            </c:extLst>
          </c:dPt>
          <c:dPt>
            <c:idx val="4"/>
            <c:invertIfNegative val="0"/>
            <c:bubble3D val="0"/>
            <c:spPr>
              <a:solidFill>
                <a:schemeClr val="accent4"/>
              </a:solidFill>
              <a:ln>
                <a:noFill/>
              </a:ln>
              <a:effectLst/>
            </c:spPr>
            <c:extLst>
              <c:ext xmlns:c16="http://schemas.microsoft.com/office/drawing/2014/chart" uri="{C3380CC4-5D6E-409C-BE32-E72D297353CC}">
                <c16:uniqueId val="{00000014-D39E-4B52-A2A5-66A78841BDC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(Ergebnisse!$K$57:$K$59,Ergebnisse!$K$62:$K$63,Ergebnisse!$K$66:$K$72)</c:f>
              <c:strCache>
                <c:ptCount val="12"/>
                <c:pt idx="0">
                  <c:v>Scope 1.1: Emissionen aus stationärer Verbrennung</c:v>
                </c:pt>
                <c:pt idx="1">
                  <c:v>Scope 1.2: Emissionen aus mobiler Verbrennung</c:v>
                </c:pt>
                <c:pt idx="2">
                  <c:v>Scope 1.4: Emissionen aus Verflüchtigungen</c:v>
                </c:pt>
                <c:pt idx="3">
                  <c:v>Scope 2.1: Emissionen aus zugekauftem und 
verbrauchtem Strom</c:v>
                </c:pt>
                <c:pt idx="4">
                  <c:v>Scope 2.2: Emissionen aus weiterer zugekaufter Energie 
(Wärme, Kälte, Dampf, Wasser)</c:v>
                </c:pt>
                <c:pt idx="5">
                  <c:v>Scope 3.1: Eingekaufte Waren und Dienstleistungen</c:v>
                </c:pt>
                <c:pt idx="6">
                  <c:v>Scope 3.3: Brennstoff und energiebezogene Emissionen 
(nicht in Scope 1 und 2 enthalten)</c:v>
                </c:pt>
                <c:pt idx="7">
                  <c:v>Scope 3.4: Transport und Verteilung (vorgelagert)</c:v>
                </c:pt>
                <c:pt idx="8">
                  <c:v>Scope 3.5: Abfall</c:v>
                </c:pt>
                <c:pt idx="9">
                  <c:v>Scope 3.6: Geschäftsreisen</c:v>
                </c:pt>
                <c:pt idx="10">
                  <c:v>Scope 3.7: Pendeln der Mitarbeitenden</c:v>
                </c:pt>
                <c:pt idx="11">
                  <c:v>Scope 3.9: Transport und Verteilung (nachgelagert)</c:v>
                </c:pt>
              </c:strCache>
            </c:strRef>
          </c:cat>
          <c:val>
            <c:numRef>
              <c:f>(Ergebnisse!$AE$57:$AE$59,Ergebnisse!$AE$62:$AE$63,Ergebnisse!$AE$66:$AE$72)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5-D39E-4B52-A2A5-66A78841BDC1}"/>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a:t>Treibhausgasemissionen [t CO2e]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solidFill>
                  <a:srgbClr val="595959"/>
                </a:solidFill>
              </a:rPr>
              <a:t>Gesamtemissionen nach Scope - </a:t>
            </a:r>
            <a:r>
              <a:rPr lang="de-DE" sz="1200" b="1">
                <a:solidFill>
                  <a:srgbClr val="595959"/>
                </a:solidFill>
              </a:rPr>
              <a:t>KBK und KBK+</a:t>
            </a:r>
            <a:endParaRPr lang="de-DE" sz="1200" b="1" u="none">
              <a:solidFill>
                <a:srgbClr val="595959"/>
              </a:solidFill>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C-EF32-4806-A961-6A36819AC5C2}"/>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E-EF32-4806-A961-6A36819AC5C2}"/>
              </c:ext>
            </c:extLst>
          </c:dPt>
          <c:dPt>
            <c:idx val="2"/>
            <c:invertIfNegative val="0"/>
            <c:bubble3D val="0"/>
            <c:spPr>
              <a:solidFill>
                <a:schemeClr val="accent2"/>
              </a:solidFill>
              <a:ln>
                <a:noFill/>
              </a:ln>
              <a:effectLst/>
            </c:spPr>
            <c:extLst>
              <c:ext xmlns:c16="http://schemas.microsoft.com/office/drawing/2014/chart" uri="{C3380CC4-5D6E-409C-BE32-E72D297353CC}">
                <c16:uniqueId val="{00000010-EF32-4806-A961-6A36819AC5C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12-EF32-4806-A961-6A36819AC5C2}"/>
              </c:ext>
            </c:extLst>
          </c:dPt>
          <c:dPt>
            <c:idx val="4"/>
            <c:invertIfNegative val="0"/>
            <c:bubble3D val="0"/>
            <c:spPr>
              <a:solidFill>
                <a:schemeClr val="accent4"/>
              </a:solidFill>
              <a:ln>
                <a:noFill/>
              </a:ln>
              <a:effectLst/>
            </c:spPr>
            <c:extLst>
              <c:ext xmlns:c16="http://schemas.microsoft.com/office/drawing/2014/chart" uri="{C3380CC4-5D6E-409C-BE32-E72D297353CC}">
                <c16:uniqueId val="{00000014-EF32-4806-A961-6A36819AC5C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(Ergebnisse!$K$57:$K$59,Ergebnisse!$K$62:$K$63,Ergebnisse!$K$66:$K$72)</c:f>
              <c:strCache>
                <c:ptCount val="12"/>
                <c:pt idx="0">
                  <c:v>Scope 1.1: Emissionen aus stationärer Verbrennung</c:v>
                </c:pt>
                <c:pt idx="1">
                  <c:v>Scope 1.2: Emissionen aus mobiler Verbrennung</c:v>
                </c:pt>
                <c:pt idx="2">
                  <c:v>Scope 1.4: Emissionen aus Verflüchtigungen</c:v>
                </c:pt>
                <c:pt idx="3">
                  <c:v>Scope 2.1: Emissionen aus zugekauftem und 
verbrauchtem Strom</c:v>
                </c:pt>
                <c:pt idx="4">
                  <c:v>Scope 2.2: Emissionen aus weiterer zugekaufter Energie 
(Wärme, Kälte, Dampf, Wasser)</c:v>
                </c:pt>
                <c:pt idx="5">
                  <c:v>Scope 3.1: Eingekaufte Waren und Dienstleistungen</c:v>
                </c:pt>
                <c:pt idx="6">
                  <c:v>Scope 3.3: Brennstoff und energiebezogene Emissionen 
(nicht in Scope 1 und 2 enthalten)</c:v>
                </c:pt>
                <c:pt idx="7">
                  <c:v>Scope 3.4: Transport und Verteilung (vorgelagert)</c:v>
                </c:pt>
                <c:pt idx="8">
                  <c:v>Scope 3.5: Abfall</c:v>
                </c:pt>
                <c:pt idx="9">
                  <c:v>Scope 3.6: Geschäftsreisen</c:v>
                </c:pt>
                <c:pt idx="10">
                  <c:v>Scope 3.7: Pendeln der Mitarbeitenden</c:v>
                </c:pt>
                <c:pt idx="11">
                  <c:v>Scope 3.9: Transport und Verteilung (nachgelagert)</c:v>
                </c:pt>
              </c:strCache>
            </c:strRef>
          </c:cat>
          <c:val>
            <c:numRef>
              <c:f>(Ergebnisse!$AG$57:$AG$59,Ergebnisse!$AG$62:$AG$63,Ergebnisse!$AG$66:$AG$72)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5-EF32-4806-A961-6A36819AC5C2}"/>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alpha val="96000"/>
              </a:srgb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a:t>Treibhausgasemissionen [t CO2e]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solidFill>
                  <a:srgbClr val="595959"/>
                </a:solidFill>
              </a:rPr>
              <a:t>Emissionen nach Thema - </a:t>
            </a:r>
            <a:r>
              <a:rPr lang="de-DE" sz="1200" b="1">
                <a:solidFill>
                  <a:srgbClr val="595959"/>
                </a:solidFill>
              </a:rPr>
              <a:t>KlimaBilanzKultur+ (KBK+)</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manualLayout>
          <c:layoutTarget val="inner"/>
          <c:xMode val="edge"/>
          <c:yMode val="edge"/>
          <c:x val="0.22087225959816564"/>
          <c:y val="0.34258804085592975"/>
          <c:w val="0.74379110257798298"/>
          <c:h val="0.50543867097007811"/>
        </c:manualLayout>
      </c:layout>
      <c:barChart>
        <c:barDir val="bar"/>
        <c:grouping val="clustered"/>
        <c:varyColors val="0"/>
        <c:ser>
          <c:idx val="0"/>
          <c:order val="0"/>
          <c:spPr>
            <a:solidFill>
              <a:srgbClr val="5ABEFF"/>
            </a:solidFill>
            <a:ln>
              <a:noFill/>
            </a:ln>
            <a:effectLst/>
          </c:spPr>
          <c:invertIfNegative val="0"/>
          <c:dPt>
            <c:idx val="0"/>
            <c:invertIfNegative val="0"/>
            <c:bubble3D val="0"/>
            <c:spPr>
              <a:solidFill>
                <a:srgbClr val="5ABEFF"/>
              </a:solidFill>
              <a:ln>
                <a:noFill/>
              </a:ln>
              <a:effectLst/>
            </c:spPr>
            <c:extLst>
              <c:ext xmlns:c16="http://schemas.microsoft.com/office/drawing/2014/chart" uri="{C3380CC4-5D6E-409C-BE32-E72D297353CC}">
                <c16:uniqueId val="{00000004-5768-463E-9EAD-8236DAC7258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Ergebnisse!$AD$38:$AD$41</c:f>
              <c:strCache>
                <c:ptCount val="4"/>
                <c:pt idx="0">
                  <c:v>Anreise der Besuchenden</c:v>
                </c:pt>
                <c:pt idx="1">
                  <c:v>Einkauf Medien</c:v>
                </c:pt>
                <c:pt idx="2">
                  <c:v>IT-Dienstleistungen</c:v>
                </c:pt>
                <c:pt idx="3">
                  <c:v>Relevante Stoffströme</c:v>
                </c:pt>
              </c:strCache>
            </c:strRef>
          </c:cat>
          <c:val>
            <c:numRef>
              <c:f>Ergebnisse!$AH$38:$AH$41</c:f>
              <c:numCache>
                <c:formatCode>#,##0.0</c:formatCode>
                <c:ptCount val="4"/>
                <c:pt idx="0">
                  <c:v>0</c:v>
                </c:pt>
                <c:pt idx="1">
                  <c:v>0</c:v>
                </c:pt>
                <c:pt idx="2">
                  <c:v>0</c:v>
                </c:pt>
                <c:pt idx="3">
                  <c:v>0</c:v>
                </c:pt>
              </c:numCache>
            </c:numRef>
          </c:val>
          <c:extLst>
            <c:ext xmlns:c16="http://schemas.microsoft.com/office/drawing/2014/chart" uri="{C3380CC4-5D6E-409C-BE32-E72D297353CC}">
              <c16:uniqueId val="{00000005-5768-463E-9EAD-8236DAC72584}"/>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Treibhausgasemissionen [t CO2e]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solidFill>
                  <a:srgbClr val="595959"/>
                </a:solidFill>
              </a:rPr>
              <a:t>Emissionen nach Thema - </a:t>
            </a:r>
            <a:r>
              <a:rPr lang="de-DE" sz="1200" b="1">
                <a:solidFill>
                  <a:srgbClr val="595959"/>
                </a:solidFill>
              </a:rPr>
              <a:t>KBK und KBK+</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bar"/>
        <c:grouping val="clustered"/>
        <c:varyColors val="0"/>
        <c:ser>
          <c:idx val="0"/>
          <c:order val="0"/>
          <c:spPr>
            <a:solidFill>
              <a:srgbClr val="4472C4"/>
            </a:solidFill>
            <a:ln>
              <a:noFill/>
            </a:ln>
            <a:effectLst/>
          </c:spPr>
          <c:invertIfNegative val="0"/>
          <c:dPt>
            <c:idx val="0"/>
            <c:invertIfNegative val="0"/>
            <c:bubble3D val="0"/>
            <c:spPr>
              <a:solidFill>
                <a:srgbClr val="4472C4"/>
              </a:solidFill>
              <a:ln>
                <a:noFill/>
              </a:ln>
              <a:effectLst/>
            </c:spPr>
            <c:extLst>
              <c:ext xmlns:c16="http://schemas.microsoft.com/office/drawing/2014/chart" uri="{C3380CC4-5D6E-409C-BE32-E72D297353CC}">
                <c16:uniqueId val="{00000016-5A13-4D2C-A6E3-DB71E7470189}"/>
              </c:ext>
            </c:extLst>
          </c:dPt>
          <c:dPt>
            <c:idx val="1"/>
            <c:invertIfNegative val="0"/>
            <c:bubble3D val="0"/>
            <c:spPr>
              <a:solidFill>
                <a:srgbClr val="4472C4"/>
              </a:solidFill>
              <a:ln>
                <a:noFill/>
              </a:ln>
              <a:effectLst/>
            </c:spPr>
            <c:extLst>
              <c:ext xmlns:c16="http://schemas.microsoft.com/office/drawing/2014/chart" uri="{C3380CC4-5D6E-409C-BE32-E72D297353CC}">
                <c16:uniqueId val="{00000018-5A13-4D2C-A6E3-DB71E7470189}"/>
              </c:ext>
            </c:extLst>
          </c:dPt>
          <c:dPt>
            <c:idx val="3"/>
            <c:invertIfNegative val="0"/>
            <c:bubble3D val="0"/>
            <c:spPr>
              <a:solidFill>
                <a:srgbClr val="4472C4"/>
              </a:solidFill>
              <a:ln>
                <a:noFill/>
              </a:ln>
              <a:effectLst/>
            </c:spPr>
            <c:extLst>
              <c:ext xmlns:c16="http://schemas.microsoft.com/office/drawing/2014/chart" uri="{C3380CC4-5D6E-409C-BE32-E72D297353CC}">
                <c16:uniqueId val="{0000001A-5A13-4D2C-A6E3-DB71E7470189}"/>
              </c:ext>
            </c:extLst>
          </c:dPt>
          <c:dPt>
            <c:idx val="4"/>
            <c:invertIfNegative val="0"/>
            <c:bubble3D val="0"/>
            <c:spPr>
              <a:solidFill>
                <a:srgbClr val="4472C4"/>
              </a:solidFill>
              <a:ln>
                <a:noFill/>
              </a:ln>
              <a:effectLst/>
            </c:spPr>
            <c:extLst>
              <c:ext xmlns:c16="http://schemas.microsoft.com/office/drawing/2014/chart" uri="{C3380CC4-5D6E-409C-BE32-E72D297353CC}">
                <c16:uniqueId val="{0000001C-5A13-4D2C-A6E3-DB71E7470189}"/>
              </c:ext>
            </c:extLst>
          </c:dPt>
          <c:dPt>
            <c:idx val="5"/>
            <c:invertIfNegative val="0"/>
            <c:bubble3D val="0"/>
            <c:spPr>
              <a:solidFill>
                <a:srgbClr val="4472C4"/>
              </a:solidFill>
              <a:ln>
                <a:noFill/>
              </a:ln>
              <a:effectLst/>
            </c:spPr>
            <c:extLst>
              <c:ext xmlns:c16="http://schemas.microsoft.com/office/drawing/2014/chart" uri="{C3380CC4-5D6E-409C-BE32-E72D297353CC}">
                <c16:uniqueId val="{0000001E-5A13-4D2C-A6E3-DB71E7470189}"/>
              </c:ext>
            </c:extLst>
          </c:dPt>
          <c:dPt>
            <c:idx val="8"/>
            <c:invertIfNegative val="0"/>
            <c:bubble3D val="0"/>
            <c:spPr>
              <a:solidFill>
                <a:srgbClr val="5ABEFF"/>
              </a:solidFill>
              <a:ln>
                <a:noFill/>
              </a:ln>
              <a:effectLst/>
            </c:spPr>
            <c:extLst>
              <c:ext xmlns:c16="http://schemas.microsoft.com/office/drawing/2014/chart" uri="{C3380CC4-5D6E-409C-BE32-E72D297353CC}">
                <c16:uniqueId val="{00000020-5A13-4D2C-A6E3-DB71E7470189}"/>
              </c:ext>
            </c:extLst>
          </c:dPt>
          <c:dPt>
            <c:idx val="9"/>
            <c:invertIfNegative val="0"/>
            <c:bubble3D val="0"/>
            <c:spPr>
              <a:solidFill>
                <a:srgbClr val="5ABEFF"/>
              </a:solidFill>
              <a:ln>
                <a:noFill/>
              </a:ln>
              <a:effectLst/>
            </c:spPr>
            <c:extLst>
              <c:ext xmlns:c16="http://schemas.microsoft.com/office/drawing/2014/chart" uri="{C3380CC4-5D6E-409C-BE32-E72D297353CC}">
                <c16:uniqueId val="{00000022-5A13-4D2C-A6E3-DB71E7470189}"/>
              </c:ext>
            </c:extLst>
          </c:dPt>
          <c:dPt>
            <c:idx val="10"/>
            <c:invertIfNegative val="0"/>
            <c:bubble3D val="0"/>
            <c:spPr>
              <a:solidFill>
                <a:srgbClr val="5ABEFF"/>
              </a:solidFill>
              <a:ln>
                <a:noFill/>
              </a:ln>
              <a:effectLst/>
            </c:spPr>
            <c:extLst>
              <c:ext xmlns:c16="http://schemas.microsoft.com/office/drawing/2014/chart" uri="{C3380CC4-5D6E-409C-BE32-E72D297353CC}">
                <c16:uniqueId val="{00000024-5A13-4D2C-A6E3-DB71E7470189}"/>
              </c:ext>
            </c:extLst>
          </c:dPt>
          <c:dPt>
            <c:idx val="11"/>
            <c:invertIfNegative val="0"/>
            <c:bubble3D val="0"/>
            <c:spPr>
              <a:solidFill>
                <a:srgbClr val="5ABEFF"/>
              </a:solidFill>
              <a:ln>
                <a:noFill/>
              </a:ln>
              <a:effectLst/>
            </c:spPr>
            <c:extLst>
              <c:ext xmlns:c16="http://schemas.microsoft.com/office/drawing/2014/chart" uri="{C3380CC4-5D6E-409C-BE32-E72D297353CC}">
                <c16:uniqueId val="{00000026-5A13-4D2C-A6E3-DB71E747018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(Ergebnisse!$AD$29:$AD$36,Ergebnisse!$AD$38:$AD$41)</c:f>
              <c:strCache>
                <c:ptCount val="12"/>
                <c:pt idx="0">
                  <c:v>Wärme</c:v>
                </c:pt>
                <c:pt idx="1">
                  <c:v>Strom</c:v>
                </c:pt>
                <c:pt idx="2">
                  <c:v>Kühl- und Kältemittel</c:v>
                </c:pt>
                <c:pt idx="3">
                  <c:v>Fuhrpark</c:v>
                </c:pt>
                <c:pt idx="4">
                  <c:v>Geschäftsreisen</c:v>
                </c:pt>
                <c:pt idx="5">
                  <c:v>Pendeln der Mitarbeitenden</c:v>
                </c:pt>
                <c:pt idx="6">
                  <c:v>Externe</c:v>
                </c:pt>
                <c:pt idx="7">
                  <c:v>Warentransporte</c:v>
                </c:pt>
                <c:pt idx="8">
                  <c:v>Anreise der Besuchenden</c:v>
                </c:pt>
                <c:pt idx="9">
                  <c:v>Einkauf Medien</c:v>
                </c:pt>
                <c:pt idx="10">
                  <c:v>IT-Dienstleistungen</c:v>
                </c:pt>
                <c:pt idx="11">
                  <c:v>Relevante Stoffströme</c:v>
                </c:pt>
              </c:strCache>
            </c:strRef>
          </c:cat>
          <c:val>
            <c:numRef>
              <c:f>(Ergebnisse!$AH$29:$AH$36,Ergebnisse!$AH$38:$AH$41)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27-5A13-4D2C-A6E3-DB71E7470189}"/>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Treibhausgasemissionen [t CO2e]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solidFill>
                  <a:srgbClr val="595959"/>
                </a:solidFill>
              </a:rPr>
              <a:t>Emissionen nach Thema - </a:t>
            </a:r>
            <a:r>
              <a:rPr lang="de-DE" sz="1200" b="1">
                <a:solidFill>
                  <a:srgbClr val="595959"/>
                </a:solidFill>
              </a:rPr>
              <a:t>KlimaBilanzKultur (KBK) </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bar"/>
        <c:grouping val="clustered"/>
        <c:varyColors val="0"/>
        <c:ser>
          <c:idx val="0"/>
          <c:order val="0"/>
          <c:spPr>
            <a:solidFill>
              <a:srgbClr val="4472C4"/>
            </a:solidFill>
            <a:ln>
              <a:noFill/>
            </a:ln>
            <a:effectLst/>
          </c:spPr>
          <c:invertIfNegative val="0"/>
          <c:dPt>
            <c:idx val="0"/>
            <c:invertIfNegative val="0"/>
            <c:bubble3D val="0"/>
            <c:spPr>
              <a:solidFill>
                <a:srgbClr val="4472C4"/>
              </a:solidFill>
              <a:ln>
                <a:noFill/>
              </a:ln>
              <a:effectLst/>
            </c:spPr>
            <c:extLst>
              <c:ext xmlns:c16="http://schemas.microsoft.com/office/drawing/2014/chart" uri="{C3380CC4-5D6E-409C-BE32-E72D297353CC}">
                <c16:uniqueId val="{0000000D-16AE-41EA-977A-6E7B494BD1D7}"/>
              </c:ext>
            </c:extLst>
          </c:dPt>
          <c:dPt>
            <c:idx val="1"/>
            <c:invertIfNegative val="0"/>
            <c:bubble3D val="0"/>
            <c:spPr>
              <a:solidFill>
                <a:srgbClr val="4472C4"/>
              </a:solidFill>
              <a:ln>
                <a:noFill/>
              </a:ln>
              <a:effectLst/>
            </c:spPr>
            <c:extLst>
              <c:ext xmlns:c16="http://schemas.microsoft.com/office/drawing/2014/chart" uri="{C3380CC4-5D6E-409C-BE32-E72D297353CC}">
                <c16:uniqueId val="{0000000F-16AE-41EA-977A-6E7B494BD1D7}"/>
              </c:ext>
            </c:extLst>
          </c:dPt>
          <c:dPt>
            <c:idx val="3"/>
            <c:invertIfNegative val="0"/>
            <c:bubble3D val="0"/>
            <c:spPr>
              <a:solidFill>
                <a:srgbClr val="4472C4"/>
              </a:solidFill>
              <a:ln>
                <a:noFill/>
              </a:ln>
              <a:effectLst/>
            </c:spPr>
            <c:extLst>
              <c:ext xmlns:c16="http://schemas.microsoft.com/office/drawing/2014/chart" uri="{C3380CC4-5D6E-409C-BE32-E72D297353CC}">
                <c16:uniqueId val="{00000011-16AE-41EA-977A-6E7B494BD1D7}"/>
              </c:ext>
            </c:extLst>
          </c:dPt>
          <c:dPt>
            <c:idx val="4"/>
            <c:invertIfNegative val="0"/>
            <c:bubble3D val="0"/>
            <c:spPr>
              <a:solidFill>
                <a:srgbClr val="4472C4"/>
              </a:solidFill>
              <a:ln>
                <a:noFill/>
              </a:ln>
              <a:effectLst/>
            </c:spPr>
            <c:extLst>
              <c:ext xmlns:c16="http://schemas.microsoft.com/office/drawing/2014/chart" uri="{C3380CC4-5D6E-409C-BE32-E72D297353CC}">
                <c16:uniqueId val="{00000013-16AE-41EA-977A-6E7B494BD1D7}"/>
              </c:ext>
            </c:extLst>
          </c:dPt>
          <c:dPt>
            <c:idx val="5"/>
            <c:invertIfNegative val="0"/>
            <c:bubble3D val="0"/>
            <c:spPr>
              <a:solidFill>
                <a:srgbClr val="4472C4"/>
              </a:solidFill>
              <a:ln>
                <a:noFill/>
              </a:ln>
              <a:effectLst/>
            </c:spPr>
            <c:extLst>
              <c:ext xmlns:c16="http://schemas.microsoft.com/office/drawing/2014/chart" uri="{C3380CC4-5D6E-409C-BE32-E72D297353CC}">
                <c16:uniqueId val="{00000015-16AE-41EA-977A-6E7B494BD1D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Ergebnisse!$AD$29:$AD$36</c:f>
              <c:strCache>
                <c:ptCount val="8"/>
                <c:pt idx="0">
                  <c:v>Wärme</c:v>
                </c:pt>
                <c:pt idx="1">
                  <c:v>Strom</c:v>
                </c:pt>
                <c:pt idx="2">
                  <c:v>Kühl- und Kältemittel</c:v>
                </c:pt>
                <c:pt idx="3">
                  <c:v>Fuhrpark</c:v>
                </c:pt>
                <c:pt idx="4">
                  <c:v>Geschäftsreisen</c:v>
                </c:pt>
                <c:pt idx="5">
                  <c:v>Pendeln der Mitarbeitenden</c:v>
                </c:pt>
                <c:pt idx="6">
                  <c:v>Externe</c:v>
                </c:pt>
                <c:pt idx="7">
                  <c:v>Warentransporte</c:v>
                </c:pt>
              </c:strCache>
            </c:strRef>
          </c:cat>
          <c:val>
            <c:numRef>
              <c:f>Ergebnisse!$AH$29:$AH$36</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6-16AE-41EA-977A-6E7B494BD1D7}"/>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Treibhausgasemissionen [t CO2e]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Gesamtemissionen - </a:t>
            </a:r>
            <a:r>
              <a:rPr lang="en-US" sz="1200" b="1"/>
              <a:t>KlimaBilanzKultur (KBK)</a:t>
            </a:r>
            <a:br>
              <a:rPr lang="en-US" sz="1200" b="1"/>
            </a:br>
            <a:r>
              <a:rPr lang="en-US" sz="1200"/>
              <a:t>[t CO2e]</a:t>
            </a:r>
          </a:p>
        </c:rich>
      </c:tx>
      <c:overlay val="0"/>
      <c:spPr>
        <a:noFill/>
        <a:ln>
          <a:noFill/>
        </a:ln>
        <a:effectLst/>
      </c:spPr>
    </c:title>
    <c:autoTitleDeleted val="0"/>
    <c:plotArea>
      <c:layout>
        <c:manualLayout>
          <c:layoutTarget val="inner"/>
          <c:xMode val="edge"/>
          <c:yMode val="edge"/>
          <c:x val="0.30663101487314087"/>
          <c:y val="0.198034385905307"/>
          <c:w val="0.39507152230971126"/>
          <c:h val="0.65564039628801229"/>
        </c:manualLayout>
      </c:layout>
      <c:doughnutChart>
        <c:varyColors val="1"/>
        <c:ser>
          <c:idx val="1"/>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8-B147-4331-90FE-B674C5ACEE15}"/>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A-B147-4331-90FE-B674C5ACEE15}"/>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C-B147-4331-90FE-B674C5ACEE1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(Ergebnisse!$AD$60,Ergebnisse!$AD$64,Ergebnisse!$AD$73)</c:f>
              <c:strCache>
                <c:ptCount val="3"/>
                <c:pt idx="0">
                  <c:v>Scope 1</c:v>
                </c:pt>
                <c:pt idx="1">
                  <c:v>Scope 2</c:v>
                </c:pt>
                <c:pt idx="2">
                  <c:v>Scope 3</c:v>
                </c:pt>
              </c:strCache>
            </c:strRef>
          </c:cat>
          <c:val>
            <c:numRef>
              <c:f>(Ergebnisse!$AE$60,Ergebnisse!$AE$64,Ergebnisse!$AE$73)</c:f>
              <c:numCache>
                <c:formatCode>#,##0.0</c:formatCode>
                <c:ptCount val="3"/>
                <c:pt idx="0">
                  <c:v>0</c:v>
                </c:pt>
                <c:pt idx="1">
                  <c:v>0</c:v>
                </c:pt>
                <c:pt idx="2">
                  <c:v>0</c:v>
                </c:pt>
              </c:numCache>
            </c:numRef>
          </c:val>
          <c:extLst>
            <c:ext xmlns:c16="http://schemas.microsoft.com/office/drawing/2014/chart" uri="{C3380CC4-5D6E-409C-BE32-E72D297353CC}">
              <c16:uniqueId val="{0000000D-B147-4331-90FE-B674C5ACEE15}"/>
            </c:ext>
          </c:extLst>
        </c:ser>
        <c:dLbls>
          <c:showLegendKey val="0"/>
          <c:showVal val="1"/>
          <c:showCatName val="0"/>
          <c:showSerName val="0"/>
          <c:showPercent val="0"/>
          <c:showBubbleSize val="0"/>
          <c:showLeaderLines val="1"/>
        </c:dLbls>
        <c:firstSliceAng val="0"/>
        <c:holeSize val="50"/>
      </c:doughnutChart>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solidFill>
                  <a:srgbClr val="595959"/>
                </a:solidFill>
              </a:rPr>
              <a:t>Gesamtemissionen - </a:t>
            </a:r>
            <a:r>
              <a:rPr lang="en-US" sz="1200" b="1">
                <a:solidFill>
                  <a:srgbClr val="595959"/>
                </a:solidFill>
              </a:rPr>
              <a:t>KBK und KBK+</a:t>
            </a:r>
            <a:br>
              <a:rPr lang="en-US" sz="1200" b="1">
                <a:solidFill>
                  <a:srgbClr val="595959"/>
                </a:solidFill>
              </a:rPr>
            </a:br>
            <a:r>
              <a:rPr lang="en-US" sz="1200">
                <a:solidFill>
                  <a:srgbClr val="595959"/>
                </a:solidFill>
              </a:rPr>
              <a:t>[t CO2e]</a:t>
            </a:r>
          </a:p>
        </c:rich>
      </c:tx>
      <c:overlay val="0"/>
      <c:spPr>
        <a:noFill/>
        <a:ln>
          <a:noFill/>
        </a:ln>
        <a:effectLst/>
      </c:spPr>
    </c:title>
    <c:autoTitleDeleted val="0"/>
    <c:plotArea>
      <c:layout>
        <c:manualLayout>
          <c:layoutTarget val="inner"/>
          <c:xMode val="edge"/>
          <c:yMode val="edge"/>
          <c:x val="0.30663101487314087"/>
          <c:y val="0.198034385905307"/>
          <c:w val="0.39507152230971126"/>
          <c:h val="0.65564039628801229"/>
        </c:manualLayout>
      </c:layout>
      <c:doughnutChart>
        <c:varyColors val="1"/>
        <c:ser>
          <c:idx val="1"/>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C-138B-44D0-AF08-F99032F0FEE7}"/>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E-138B-44D0-AF08-F99032F0FEE7}"/>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10-138B-44D0-AF08-F99032F0FE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(Ergebnisse!$AD$60,Ergebnisse!$AD$64,Ergebnisse!$AD$73)</c:f>
              <c:strCache>
                <c:ptCount val="3"/>
                <c:pt idx="0">
                  <c:v>Scope 1</c:v>
                </c:pt>
                <c:pt idx="1">
                  <c:v>Scope 2</c:v>
                </c:pt>
                <c:pt idx="2">
                  <c:v>Scope 3</c:v>
                </c:pt>
              </c:strCache>
            </c:strRef>
          </c:cat>
          <c:val>
            <c:numRef>
              <c:f>(Ergebnisse!$AG$60,Ergebnisse!$AG$64,Ergebnisse!$AG$73)</c:f>
              <c:numCache>
                <c:formatCode>#,##0.0</c:formatCode>
                <c:ptCount val="3"/>
                <c:pt idx="0">
                  <c:v>0</c:v>
                </c:pt>
                <c:pt idx="1">
                  <c:v>0</c:v>
                </c:pt>
                <c:pt idx="2">
                  <c:v>0</c:v>
                </c:pt>
              </c:numCache>
            </c:numRef>
          </c:val>
          <c:extLst>
            <c:ext xmlns:c16="http://schemas.microsoft.com/office/drawing/2014/chart" uri="{C3380CC4-5D6E-409C-BE32-E72D297353CC}">
              <c16:uniqueId val="{00000011-138B-44D0-AF08-F99032F0FEE7}"/>
            </c:ext>
          </c:extLst>
        </c:ser>
        <c:dLbls>
          <c:showLegendKey val="0"/>
          <c:showVal val="1"/>
          <c:showCatName val="0"/>
          <c:showSerName val="0"/>
          <c:showPercent val="0"/>
          <c:showBubbleSize val="0"/>
          <c:showLeaderLines val="1"/>
        </c:dLbls>
        <c:firstSliceAng val="0"/>
        <c:holeSize val="50"/>
      </c:doughnutChart>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solidFill>
                  <a:srgbClr val="595959"/>
                </a:solidFill>
              </a:rPr>
              <a:t>Gesamtemissionen nach Scope - </a:t>
            </a:r>
            <a:r>
              <a:rPr lang="de-DE" sz="1200" b="1">
                <a:solidFill>
                  <a:srgbClr val="595959"/>
                </a:solidFill>
              </a:rPr>
              <a:t>KlimaBilanzKultur (KBK)</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12-5FCB-4C65-942E-34ADB98901CD}"/>
              </c:ext>
            </c:extLst>
          </c:dPt>
          <c:dPt>
            <c:idx val="3"/>
            <c:invertIfNegative val="0"/>
            <c:bubble3D val="0"/>
            <c:spPr>
              <a:solidFill>
                <a:schemeClr val="accent4"/>
              </a:solidFill>
              <a:ln>
                <a:noFill/>
              </a:ln>
              <a:effectLst/>
            </c:spPr>
            <c:extLst>
              <c:ext xmlns:c16="http://schemas.microsoft.com/office/drawing/2014/chart" uri="{C3380CC4-5D6E-409C-BE32-E72D297353CC}">
                <c16:uniqueId val="{00000014-5FCB-4C65-942E-34ADB98901CD}"/>
              </c:ext>
            </c:extLst>
          </c:dPt>
          <c:dPt>
            <c:idx val="4"/>
            <c:invertIfNegative val="0"/>
            <c:bubble3D val="0"/>
            <c:spPr>
              <a:solidFill>
                <a:schemeClr val="accent4"/>
              </a:solidFill>
              <a:ln>
                <a:noFill/>
              </a:ln>
              <a:effectLst/>
            </c:spPr>
            <c:extLst>
              <c:ext xmlns:c16="http://schemas.microsoft.com/office/drawing/2014/chart" uri="{C3380CC4-5D6E-409C-BE32-E72D297353CC}">
                <c16:uniqueId val="{00000016-5FCB-4C65-942E-34ADB98901CD}"/>
              </c:ext>
            </c:extLst>
          </c:dPt>
          <c:dPt>
            <c:idx val="5"/>
            <c:invertIfNegative val="0"/>
            <c:bubble3D val="0"/>
            <c:spPr>
              <a:solidFill>
                <a:schemeClr val="accent1"/>
              </a:solidFill>
              <a:ln>
                <a:noFill/>
              </a:ln>
              <a:effectLst/>
            </c:spPr>
            <c:extLst>
              <c:ext xmlns:c16="http://schemas.microsoft.com/office/drawing/2014/chart" uri="{C3380CC4-5D6E-409C-BE32-E72D297353CC}">
                <c16:uniqueId val="{00000018-5FCB-4C65-942E-34ADB98901CD}"/>
              </c:ext>
            </c:extLst>
          </c:dPt>
          <c:dPt>
            <c:idx val="6"/>
            <c:invertIfNegative val="0"/>
            <c:bubble3D val="0"/>
            <c:spPr>
              <a:solidFill>
                <a:schemeClr val="accent1"/>
              </a:solidFill>
              <a:ln>
                <a:noFill/>
              </a:ln>
              <a:effectLst/>
            </c:spPr>
            <c:extLst>
              <c:ext xmlns:c16="http://schemas.microsoft.com/office/drawing/2014/chart" uri="{C3380CC4-5D6E-409C-BE32-E72D297353CC}">
                <c16:uniqueId val="{0000001A-5FCB-4C65-942E-34ADB98901CD}"/>
              </c:ext>
            </c:extLst>
          </c:dPt>
          <c:dPt>
            <c:idx val="7"/>
            <c:invertIfNegative val="0"/>
            <c:bubble3D val="0"/>
            <c:spPr>
              <a:solidFill>
                <a:schemeClr val="accent1"/>
              </a:solidFill>
              <a:ln>
                <a:noFill/>
              </a:ln>
              <a:effectLst/>
            </c:spPr>
            <c:extLst>
              <c:ext xmlns:c16="http://schemas.microsoft.com/office/drawing/2014/chart" uri="{C3380CC4-5D6E-409C-BE32-E72D297353CC}">
                <c16:uniqueId val="{0000001C-5FCB-4C65-942E-34ADB98901CD}"/>
              </c:ext>
            </c:extLst>
          </c:dPt>
          <c:dPt>
            <c:idx val="8"/>
            <c:invertIfNegative val="0"/>
            <c:bubble3D val="0"/>
            <c:spPr>
              <a:solidFill>
                <a:schemeClr val="accent1"/>
              </a:solidFill>
              <a:ln>
                <a:noFill/>
              </a:ln>
              <a:effectLst/>
            </c:spPr>
            <c:extLst>
              <c:ext xmlns:c16="http://schemas.microsoft.com/office/drawing/2014/chart" uri="{C3380CC4-5D6E-409C-BE32-E72D297353CC}">
                <c16:uniqueId val="{00000020-5FCB-4C65-942E-34ADB98901C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(Ergebnisse!$K$57:$K$59,Ergebnisse!$K$62:$K$63,Ergebnisse!$K$66:$K$72)</c15:sqref>
                  </c15:fullRef>
                </c:ext>
              </c:extLst>
              <c:f>(Ergebnisse!$K$57:$K$59,Ergebnisse!$K$62:$K$63,Ergebnisse!$K$66:$K$68,Ergebnisse!$K$70:$K$71)</c:f>
              <c:strCache>
                <c:ptCount val="10"/>
                <c:pt idx="0">
                  <c:v>Scope 1.1: Emissionen aus stationärer Verbrennung</c:v>
                </c:pt>
                <c:pt idx="1">
                  <c:v>Scope 1.2: Emissionen aus mobiler Verbrennung</c:v>
                </c:pt>
                <c:pt idx="2">
                  <c:v>Scope 1.4: Emissionen aus Verflüchtigungen</c:v>
                </c:pt>
                <c:pt idx="3">
                  <c:v>Scope 2.1: Emissionen aus zugekauftem und 
verbrauchtem Strom</c:v>
                </c:pt>
                <c:pt idx="4">
                  <c:v>Scope 2.2: Emissionen aus weiterer zugekaufter Energie 
(Wärme, Kälte, Dampf, Wasser)</c:v>
                </c:pt>
                <c:pt idx="5">
                  <c:v>Scope 3.1: Eingekaufte Waren und Dienstleistungen</c:v>
                </c:pt>
                <c:pt idx="6">
                  <c:v>Scope 3.3: Brennstoff und energiebezogene Emissionen 
(nicht in Scope 1 und 2 enthalten)</c:v>
                </c:pt>
                <c:pt idx="7">
                  <c:v>Scope 3.4: Transport und Verteilung (vorgelagert)</c:v>
                </c:pt>
                <c:pt idx="8">
                  <c:v>Scope 3.6: Geschäftsreisen</c:v>
                </c:pt>
                <c:pt idx="9">
                  <c:v>Scope 3.7: Pendeln der Mitarbeitenden</c:v>
                </c:pt>
              </c:strCache>
            </c:strRef>
          </c:cat>
          <c:val>
            <c:numRef>
              <c:extLst>
                <c:ext xmlns:c15="http://schemas.microsoft.com/office/drawing/2012/chart" uri="{02D57815-91ED-43cb-92C2-25804820EDAC}">
                  <c15:fullRef>
                    <c15:sqref>(Ergebnisse!$AE$177:$AE$179,Ergebnisse!$AE$182:$AE$183,Ergebnisse!$AE$186:$AE$192)</c15:sqref>
                  </c15:fullRef>
                </c:ext>
              </c:extLst>
              <c:f>(Ergebnisse!$AE$177:$AE$179,Ergebnisse!$AE$182:$AE$183,Ergebnisse!$AE$186:$AE$188,Ergebnisse!$AE$190:$AE$191)</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categoryFilterExceptions>
                <c15:categoryFilterException>
                  <c15:sqref>Ergebnisse!$AE$189</c15:sqref>
                  <c15:spPr xmlns:c15="http://schemas.microsoft.com/office/drawing/2012/chart">
                    <a:solidFill>
                      <a:schemeClr val="accent2"/>
                    </a:solidFill>
                    <a:ln>
                      <a:noFill/>
                    </a:ln>
                    <a:effectLst/>
                  </c15:spPr>
                  <c15:invertIfNegative val="0"/>
                  <c15:bubble3D val="0"/>
                </c15:categoryFilterException>
              </c15:categoryFilterExceptions>
            </c:ext>
            <c:ext xmlns:c16="http://schemas.microsoft.com/office/drawing/2014/chart" uri="{C3380CC4-5D6E-409C-BE32-E72D297353CC}">
              <c16:uniqueId val="{00000021-5FCB-4C65-942E-34ADB98901CD}"/>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a:t>Treibhausgasemissionen [t CO2e]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solidFill>
                  <a:srgbClr val="595959"/>
                </a:solidFill>
              </a:rPr>
              <a:t>Gesamtemissionen nach Scope - </a:t>
            </a:r>
            <a:r>
              <a:rPr lang="de-DE" sz="1200" b="1" i="0" u="none" strike="noStrike" kern="1200" spc="0" baseline="0">
                <a:solidFill>
                  <a:srgbClr val="595959"/>
                </a:solidFill>
              </a:rPr>
              <a:t>KBK und KBK+</a:t>
            </a:r>
            <a:endParaRPr lang="de-DE" sz="1200" b="1" u="none">
              <a:solidFill>
                <a:srgbClr val="595959"/>
              </a:solidFill>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1-D063-4D6B-96AB-A2FCC3B1483A}"/>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D063-4D6B-96AB-A2FCC3B1483A}"/>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5-D063-4D6B-96AB-A2FCC3B1483A}"/>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D063-4D6B-96AB-A2FCC3B1483A}"/>
              </c:ext>
            </c:extLst>
          </c:dPt>
          <c:dPt>
            <c:idx val="4"/>
            <c:invertIfNegative val="0"/>
            <c:bubble3D val="0"/>
            <c:spPr>
              <a:solidFill>
                <a:schemeClr val="accent4"/>
              </a:solidFill>
              <a:ln>
                <a:noFill/>
              </a:ln>
              <a:effectLst/>
            </c:spPr>
            <c:extLst>
              <c:ext xmlns:c16="http://schemas.microsoft.com/office/drawing/2014/chart" uri="{C3380CC4-5D6E-409C-BE32-E72D297353CC}">
                <c16:uniqueId val="{00000009-D063-4D6B-96AB-A2FCC3B1483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(Ergebnisse!$K$57:$K$59,Ergebnisse!$K$62:$K$63,Ergebnisse!$K$66:$K$72)</c:f>
              <c:strCache>
                <c:ptCount val="12"/>
                <c:pt idx="0">
                  <c:v>Scope 1.1: Emissionen aus stationärer Verbrennung</c:v>
                </c:pt>
                <c:pt idx="1">
                  <c:v>Scope 1.2: Emissionen aus mobiler Verbrennung</c:v>
                </c:pt>
                <c:pt idx="2">
                  <c:v>Scope 1.4: Emissionen aus Verflüchtigungen</c:v>
                </c:pt>
                <c:pt idx="3">
                  <c:v>Scope 2.1: Emissionen aus zugekauftem und 
verbrauchtem Strom</c:v>
                </c:pt>
                <c:pt idx="4">
                  <c:v>Scope 2.2: Emissionen aus weiterer zugekaufter Energie 
(Wärme, Kälte, Dampf, Wasser)</c:v>
                </c:pt>
                <c:pt idx="5">
                  <c:v>Scope 3.1: Eingekaufte Waren und Dienstleistungen</c:v>
                </c:pt>
                <c:pt idx="6">
                  <c:v>Scope 3.3: Brennstoff und energiebezogene Emissionen 
(nicht in Scope 1 und 2 enthalten)</c:v>
                </c:pt>
                <c:pt idx="7">
                  <c:v>Scope 3.4: Transport und Verteilung (vorgelagert)</c:v>
                </c:pt>
                <c:pt idx="8">
                  <c:v>Scope 3.5: Abfall</c:v>
                </c:pt>
                <c:pt idx="9">
                  <c:v>Scope 3.6: Geschäftsreisen</c:v>
                </c:pt>
                <c:pt idx="10">
                  <c:v>Scope 3.7: Pendeln der Mitarbeitenden</c:v>
                </c:pt>
                <c:pt idx="11">
                  <c:v>Scope 3.9: Transport und Verteilung (nachgelagert)</c:v>
                </c:pt>
              </c:strCache>
            </c:strRef>
          </c:cat>
          <c:val>
            <c:numRef>
              <c:f>(Ergebnisse!$F$57:$F$59,Ergebnisse!$F$62:$F$63,Ergebnisse!$F$66:$F$72)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D063-4D6B-96AB-A2FCC3B1483A}"/>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alpha val="96000"/>
              </a:srgb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a:t>Treibhausgasemissionen [t CO2e]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solidFill>
                  <a:srgbClr val="595959"/>
                </a:solidFill>
              </a:rPr>
              <a:t>Gesamtemissionen nach Scope - </a:t>
            </a:r>
            <a:r>
              <a:rPr lang="de-DE" sz="1200" b="1">
                <a:solidFill>
                  <a:srgbClr val="595959"/>
                </a:solidFill>
              </a:rPr>
              <a:t>KBK und KBK+</a:t>
            </a:r>
            <a:endParaRPr lang="de-DE" sz="1200" b="1" u="none">
              <a:solidFill>
                <a:srgbClr val="595959"/>
              </a:solidFill>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bar"/>
        <c:grouping val="clustered"/>
        <c:varyColors val="0"/>
        <c:ser>
          <c:idx val="1"/>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A-53A9-40F0-973D-BFC279DCE21B}"/>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C-53A9-40F0-973D-BFC279DCE21B}"/>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E-53A9-40F0-973D-BFC279DCE21B}"/>
              </c:ext>
            </c:extLst>
          </c:dPt>
          <c:dPt>
            <c:idx val="4"/>
            <c:invertIfNegative val="0"/>
            <c:bubble3D val="0"/>
            <c:spPr>
              <a:solidFill>
                <a:schemeClr val="accent4"/>
              </a:solidFill>
              <a:ln>
                <a:noFill/>
              </a:ln>
              <a:effectLst/>
            </c:spPr>
            <c:extLst>
              <c:ext xmlns:c16="http://schemas.microsoft.com/office/drawing/2014/chart" uri="{C3380CC4-5D6E-409C-BE32-E72D297353CC}">
                <c16:uniqueId val="{00000010-53A9-40F0-973D-BFC279DCE21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(Ergebnisse!$K$57:$K$59,Ergebnisse!$K$62:$K$63,Ergebnisse!$K$66:$K$72)</c:f>
              <c:strCache>
                <c:ptCount val="12"/>
                <c:pt idx="0">
                  <c:v>Scope 1.1: Emissionen aus stationärer Verbrennung</c:v>
                </c:pt>
                <c:pt idx="1">
                  <c:v>Scope 1.2: Emissionen aus mobiler Verbrennung</c:v>
                </c:pt>
                <c:pt idx="2">
                  <c:v>Scope 1.4: Emissionen aus Verflüchtigungen</c:v>
                </c:pt>
                <c:pt idx="3">
                  <c:v>Scope 2.1: Emissionen aus zugekauftem und 
verbrauchtem Strom</c:v>
                </c:pt>
                <c:pt idx="4">
                  <c:v>Scope 2.2: Emissionen aus weiterer zugekaufter Energie 
(Wärme, Kälte, Dampf, Wasser)</c:v>
                </c:pt>
                <c:pt idx="5">
                  <c:v>Scope 3.1: Eingekaufte Waren und Dienstleistungen</c:v>
                </c:pt>
                <c:pt idx="6">
                  <c:v>Scope 3.3: Brennstoff und energiebezogene Emissionen 
(nicht in Scope 1 und 2 enthalten)</c:v>
                </c:pt>
                <c:pt idx="7">
                  <c:v>Scope 3.4: Transport und Verteilung (vorgelagert)</c:v>
                </c:pt>
                <c:pt idx="8">
                  <c:v>Scope 3.5: Abfall</c:v>
                </c:pt>
                <c:pt idx="9">
                  <c:v>Scope 3.6: Geschäftsreisen</c:v>
                </c:pt>
                <c:pt idx="10">
                  <c:v>Scope 3.7: Pendeln der Mitarbeitenden</c:v>
                </c:pt>
                <c:pt idx="11">
                  <c:v>Scope 3.9: Transport und Verteilung (nachgelagert)</c:v>
                </c:pt>
              </c:strCache>
            </c:strRef>
          </c:cat>
          <c:val>
            <c:numRef>
              <c:f>(Ergebnisse!$AG$177:$AG$179,Ergebnisse!$AG$182:$AG$183,Ergebnisse!$AG$186:$AG$192)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1-53A9-40F0-973D-BFC279DCE21B}"/>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alpha val="96000"/>
              </a:srgb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a:t>Treibhausgasemissionen [t CO2e]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solidFill>
                  <a:srgbClr val="595959"/>
                </a:solidFill>
              </a:rPr>
              <a:t>Emissionen nach Thema - </a:t>
            </a:r>
            <a:r>
              <a:rPr lang="de-DE" sz="1200" b="1">
                <a:solidFill>
                  <a:srgbClr val="595959"/>
                </a:solidFill>
              </a:rPr>
              <a:t>KlimaBilanzKultur+ (KBK+) </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manualLayout>
          <c:layoutTarget val="inner"/>
          <c:xMode val="edge"/>
          <c:yMode val="edge"/>
          <c:x val="0.23413343747616663"/>
          <c:y val="0.34258804085592975"/>
          <c:w val="0.7305299509163472"/>
          <c:h val="0.50543867097007811"/>
        </c:manualLayout>
      </c:layout>
      <c:barChart>
        <c:barDir val="bar"/>
        <c:grouping val="clustered"/>
        <c:varyColors val="0"/>
        <c:ser>
          <c:idx val="0"/>
          <c:order val="0"/>
          <c:spPr>
            <a:solidFill>
              <a:srgbClr val="5ABE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Ergebnisse!$AD$158:$AD$161</c:f>
              <c:strCache>
                <c:ptCount val="4"/>
                <c:pt idx="0">
                  <c:v>Anreise der Besuchenden</c:v>
                </c:pt>
                <c:pt idx="1">
                  <c:v>Einkauf Medien</c:v>
                </c:pt>
                <c:pt idx="2">
                  <c:v>IT-Dienstleistungen</c:v>
                </c:pt>
                <c:pt idx="3">
                  <c:v>Relevante Stoffströme</c:v>
                </c:pt>
              </c:strCache>
            </c:strRef>
          </c:cat>
          <c:val>
            <c:numRef>
              <c:f>Ergebnisse!$AH$158:$AH$161</c:f>
              <c:numCache>
                <c:formatCode>#,##0.0</c:formatCode>
                <c:ptCount val="4"/>
                <c:pt idx="0">
                  <c:v>0</c:v>
                </c:pt>
                <c:pt idx="1">
                  <c:v>0</c:v>
                </c:pt>
                <c:pt idx="2">
                  <c:v>0</c:v>
                </c:pt>
                <c:pt idx="3">
                  <c:v>0</c:v>
                </c:pt>
              </c:numCache>
            </c:numRef>
          </c:val>
          <c:extLst>
            <c:ext xmlns:c16="http://schemas.microsoft.com/office/drawing/2014/chart" uri="{C3380CC4-5D6E-409C-BE32-E72D297353CC}">
              <c16:uniqueId val="{00000001-8C2C-4B0F-9F9C-4854D5C5C006}"/>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Treibhausgasemissionen [t CO2e]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solidFill>
                  <a:srgbClr val="595959"/>
                </a:solidFill>
              </a:rPr>
              <a:t>Emissionen nach Thema - </a:t>
            </a:r>
            <a:r>
              <a:rPr lang="de-DE" sz="1200" b="1">
                <a:solidFill>
                  <a:srgbClr val="595959"/>
                </a:solidFill>
              </a:rPr>
              <a:t>KBK und KBK+</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bar"/>
        <c:grouping val="clustered"/>
        <c:varyColors val="0"/>
        <c:ser>
          <c:idx val="0"/>
          <c:order val="0"/>
          <c:spPr>
            <a:solidFill>
              <a:srgbClr val="4472C4"/>
            </a:solidFill>
            <a:ln>
              <a:noFill/>
            </a:ln>
            <a:effectLst/>
          </c:spPr>
          <c:invertIfNegative val="0"/>
          <c:dPt>
            <c:idx val="8"/>
            <c:invertIfNegative val="0"/>
            <c:bubble3D val="0"/>
            <c:spPr>
              <a:solidFill>
                <a:srgbClr val="5ABEFF"/>
              </a:solidFill>
              <a:ln>
                <a:noFill/>
              </a:ln>
              <a:effectLst/>
            </c:spPr>
            <c:extLst>
              <c:ext xmlns:c16="http://schemas.microsoft.com/office/drawing/2014/chart" uri="{C3380CC4-5D6E-409C-BE32-E72D297353CC}">
                <c16:uniqueId val="{0000000A-D25D-4761-970A-CBF05CDA994E}"/>
              </c:ext>
            </c:extLst>
          </c:dPt>
          <c:dPt>
            <c:idx val="9"/>
            <c:invertIfNegative val="0"/>
            <c:bubble3D val="0"/>
            <c:spPr>
              <a:solidFill>
                <a:srgbClr val="5ABEFF"/>
              </a:solidFill>
              <a:ln>
                <a:noFill/>
              </a:ln>
              <a:effectLst/>
            </c:spPr>
            <c:extLst>
              <c:ext xmlns:c16="http://schemas.microsoft.com/office/drawing/2014/chart" uri="{C3380CC4-5D6E-409C-BE32-E72D297353CC}">
                <c16:uniqueId val="{0000000C-D25D-4761-970A-CBF05CDA994E}"/>
              </c:ext>
            </c:extLst>
          </c:dPt>
          <c:dPt>
            <c:idx val="10"/>
            <c:invertIfNegative val="0"/>
            <c:bubble3D val="0"/>
            <c:spPr>
              <a:solidFill>
                <a:srgbClr val="5ABEFF"/>
              </a:solidFill>
              <a:ln>
                <a:noFill/>
              </a:ln>
              <a:effectLst/>
            </c:spPr>
            <c:extLst>
              <c:ext xmlns:c16="http://schemas.microsoft.com/office/drawing/2014/chart" uri="{C3380CC4-5D6E-409C-BE32-E72D297353CC}">
                <c16:uniqueId val="{0000000E-D25D-4761-970A-CBF05CDA994E}"/>
              </c:ext>
            </c:extLst>
          </c:dPt>
          <c:dPt>
            <c:idx val="11"/>
            <c:invertIfNegative val="0"/>
            <c:bubble3D val="0"/>
            <c:spPr>
              <a:solidFill>
                <a:srgbClr val="5ABEFF"/>
              </a:solidFill>
              <a:ln>
                <a:noFill/>
              </a:ln>
              <a:effectLst/>
            </c:spPr>
            <c:extLst>
              <c:ext xmlns:c16="http://schemas.microsoft.com/office/drawing/2014/chart" uri="{C3380CC4-5D6E-409C-BE32-E72D297353CC}">
                <c16:uniqueId val="{00000010-D25D-4761-970A-CBF05CDA994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(Ergebnisse!$AD$149:$AD$156,Ergebnisse!$AD$158:$AD$161)</c:f>
              <c:strCache>
                <c:ptCount val="12"/>
                <c:pt idx="0">
                  <c:v>Wärme</c:v>
                </c:pt>
                <c:pt idx="1">
                  <c:v>Strom</c:v>
                </c:pt>
                <c:pt idx="2">
                  <c:v>Kühl- und Kältemittel</c:v>
                </c:pt>
                <c:pt idx="3">
                  <c:v>Fuhrpark</c:v>
                </c:pt>
                <c:pt idx="4">
                  <c:v>Geschäftsreisen</c:v>
                </c:pt>
                <c:pt idx="5">
                  <c:v>Pendeln der Mitarbeitenden</c:v>
                </c:pt>
                <c:pt idx="6">
                  <c:v>Externe</c:v>
                </c:pt>
                <c:pt idx="7">
                  <c:v>Warentransporte</c:v>
                </c:pt>
                <c:pt idx="8">
                  <c:v>Anreise der Besuchenden</c:v>
                </c:pt>
                <c:pt idx="9">
                  <c:v>Einkauf Medien</c:v>
                </c:pt>
                <c:pt idx="10">
                  <c:v>IT-Dienstleistungen</c:v>
                </c:pt>
                <c:pt idx="11">
                  <c:v>Relevante Stoffströme</c:v>
                </c:pt>
              </c:strCache>
            </c:strRef>
          </c:cat>
          <c:val>
            <c:numRef>
              <c:f>(Ergebnisse!$AH$149:$AH$156,Ergebnisse!$AH$158:$AH$161)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1-D25D-4761-970A-CBF05CDA994E}"/>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Treibhausgasemissionen [t CO2e]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solidFill>
                  <a:srgbClr val="595959"/>
                </a:solidFill>
              </a:rPr>
              <a:t>Emissionen nach Thema - </a:t>
            </a:r>
            <a:r>
              <a:rPr lang="de-DE" sz="1200" b="1">
                <a:solidFill>
                  <a:srgbClr val="595959"/>
                </a:solidFill>
              </a:rPr>
              <a:t>KlimaBilanzKultur (KBK) </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bar"/>
        <c:grouping val="clustered"/>
        <c:varyColors val="0"/>
        <c:ser>
          <c:idx val="0"/>
          <c:order val="0"/>
          <c:spPr>
            <a:solidFill>
              <a:srgbClr val="4472C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Ergebnisse!$AD$149:$AD$156</c:f>
              <c:strCache>
                <c:ptCount val="8"/>
                <c:pt idx="0">
                  <c:v>Wärme</c:v>
                </c:pt>
                <c:pt idx="1">
                  <c:v>Strom</c:v>
                </c:pt>
                <c:pt idx="2">
                  <c:v>Kühl- und Kältemittel</c:v>
                </c:pt>
                <c:pt idx="3">
                  <c:v>Fuhrpark</c:v>
                </c:pt>
                <c:pt idx="4">
                  <c:v>Geschäftsreisen</c:v>
                </c:pt>
                <c:pt idx="5">
                  <c:v>Pendeln der Mitarbeitenden</c:v>
                </c:pt>
                <c:pt idx="6">
                  <c:v>Externe</c:v>
                </c:pt>
                <c:pt idx="7">
                  <c:v>Warentransporte</c:v>
                </c:pt>
              </c:strCache>
            </c:strRef>
          </c:cat>
          <c:val>
            <c:numRef>
              <c:f>Ergebnisse!$AH$149:$AH$156</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0441-4A4F-9C34-8A799A6F89AD}"/>
            </c:ext>
          </c:extLst>
        </c:ser>
        <c:dLbls>
          <c:showLegendKey val="0"/>
          <c:showVal val="0"/>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Treibhausgasemissionen [t CO2e]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solidFill>
                  <a:srgbClr val="595959"/>
                </a:solidFill>
              </a:rPr>
              <a:t>Gesamtemissionen - </a:t>
            </a:r>
            <a:r>
              <a:rPr lang="en-US" sz="1200" b="1">
                <a:solidFill>
                  <a:srgbClr val="595959"/>
                </a:solidFill>
              </a:rPr>
              <a:t>KlimaBilanzKultur (KBK) </a:t>
            </a:r>
            <a:br>
              <a:rPr lang="en-US" sz="1200" b="1">
                <a:solidFill>
                  <a:srgbClr val="595959"/>
                </a:solidFill>
              </a:rPr>
            </a:br>
            <a:r>
              <a:rPr lang="en-US" sz="1200">
                <a:solidFill>
                  <a:srgbClr val="595959"/>
                </a:solidFill>
              </a:rPr>
              <a:t>[t CO2e]</a:t>
            </a:r>
          </a:p>
        </c:rich>
      </c:tx>
      <c:overlay val="0"/>
      <c:spPr>
        <a:noFill/>
        <a:ln>
          <a:noFill/>
        </a:ln>
        <a:effectLst/>
      </c:spPr>
    </c:title>
    <c:autoTitleDeleted val="0"/>
    <c:plotArea>
      <c:layout>
        <c:manualLayout>
          <c:layoutTarget val="inner"/>
          <c:xMode val="edge"/>
          <c:yMode val="edge"/>
          <c:x val="0.30663101487314087"/>
          <c:y val="0.198034385905307"/>
          <c:w val="0.39507152230971126"/>
          <c:h val="0.65564039628801229"/>
        </c:manualLayout>
      </c:layout>
      <c:doughnut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8-612F-4C51-B116-EFD6FF490757}"/>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A-612F-4C51-B116-EFD6FF490757}"/>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C-612F-4C51-B116-EFD6FF490757}"/>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12F-4C51-B116-EFD6FF49075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(Ergebnisse!$AD$180,Ergebnisse!$AD$184,Ergebnisse!$AD$193)</c:f>
              <c:strCache>
                <c:ptCount val="3"/>
                <c:pt idx="0">
                  <c:v>Scope 1</c:v>
                </c:pt>
                <c:pt idx="1">
                  <c:v>Scope 2</c:v>
                </c:pt>
                <c:pt idx="2">
                  <c:v>Scope 3</c:v>
                </c:pt>
              </c:strCache>
            </c:strRef>
          </c:cat>
          <c:val>
            <c:numRef>
              <c:f>(Ergebnisse!$AE$180,Ergebnisse!$AE$184,Ergebnisse!$AE$193)</c:f>
              <c:numCache>
                <c:formatCode>#,##0.0</c:formatCode>
                <c:ptCount val="3"/>
                <c:pt idx="0">
                  <c:v>0</c:v>
                </c:pt>
                <c:pt idx="1">
                  <c:v>0</c:v>
                </c:pt>
                <c:pt idx="2">
                  <c:v>0</c:v>
                </c:pt>
              </c:numCache>
            </c:numRef>
          </c:val>
          <c:extLst>
            <c:ext xmlns:c16="http://schemas.microsoft.com/office/drawing/2014/chart" uri="{C3380CC4-5D6E-409C-BE32-E72D297353CC}">
              <c16:uniqueId val="{0000000D-612F-4C51-B116-EFD6FF490757}"/>
            </c:ext>
          </c:extLst>
        </c:ser>
        <c:dLbls>
          <c:showLegendKey val="0"/>
          <c:showVal val="1"/>
          <c:showCatName val="0"/>
          <c:showSerName val="0"/>
          <c:showPercent val="0"/>
          <c:showBubbleSize val="0"/>
          <c:showLeaderLines val="1"/>
        </c:dLbls>
        <c:firstSliceAng val="0"/>
        <c:holeSize val="50"/>
      </c:doughnutChart>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solidFill>
                  <a:srgbClr val="595959"/>
                </a:solidFill>
              </a:rPr>
              <a:t>Gesamtemissionen - </a:t>
            </a:r>
            <a:r>
              <a:rPr lang="en-US" sz="1200" b="1">
                <a:solidFill>
                  <a:srgbClr val="595959"/>
                </a:solidFill>
              </a:rPr>
              <a:t>KBK und KBK+</a:t>
            </a:r>
            <a:br>
              <a:rPr lang="en-US" sz="1200" b="1">
                <a:solidFill>
                  <a:srgbClr val="595959"/>
                </a:solidFill>
              </a:rPr>
            </a:br>
            <a:r>
              <a:rPr lang="en-US" sz="1200">
                <a:solidFill>
                  <a:srgbClr val="595959"/>
                </a:solidFill>
              </a:rPr>
              <a:t>[t CO2e]</a:t>
            </a:r>
          </a:p>
        </c:rich>
      </c:tx>
      <c:overlay val="0"/>
      <c:spPr>
        <a:noFill/>
        <a:ln>
          <a:noFill/>
        </a:ln>
        <a:effectLst/>
      </c:spPr>
    </c:title>
    <c:autoTitleDeleted val="0"/>
    <c:plotArea>
      <c:layout>
        <c:manualLayout>
          <c:layoutTarget val="inner"/>
          <c:xMode val="edge"/>
          <c:yMode val="edge"/>
          <c:x val="0.30663101487314087"/>
          <c:y val="0.198034385905307"/>
          <c:w val="0.39507152230971126"/>
          <c:h val="0.65564039628801229"/>
        </c:manualLayout>
      </c:layout>
      <c:doughnut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8-1AFE-43B2-A1C1-776F24285837}"/>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A-1AFE-43B2-A1C1-776F24285837}"/>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C-1AFE-43B2-A1C1-776F2428583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(Ergebnisse!$AD$180,Ergebnisse!$AD$184,Ergebnisse!$AD$193)</c:f>
              <c:strCache>
                <c:ptCount val="3"/>
                <c:pt idx="0">
                  <c:v>Scope 1</c:v>
                </c:pt>
                <c:pt idx="1">
                  <c:v>Scope 2</c:v>
                </c:pt>
                <c:pt idx="2">
                  <c:v>Scope 3</c:v>
                </c:pt>
              </c:strCache>
            </c:strRef>
          </c:cat>
          <c:val>
            <c:numRef>
              <c:f>(Ergebnisse!$AG$180,Ergebnisse!$AG$184,Ergebnisse!$AG$193)</c:f>
              <c:numCache>
                <c:formatCode>#,##0.0</c:formatCode>
                <c:ptCount val="3"/>
                <c:pt idx="0">
                  <c:v>0</c:v>
                </c:pt>
                <c:pt idx="1">
                  <c:v>0</c:v>
                </c:pt>
                <c:pt idx="2">
                  <c:v>0</c:v>
                </c:pt>
              </c:numCache>
            </c:numRef>
          </c:val>
          <c:extLst>
            <c:ext xmlns:c16="http://schemas.microsoft.com/office/drawing/2014/chart" uri="{C3380CC4-5D6E-409C-BE32-E72D297353CC}">
              <c16:uniqueId val="{0000000D-1AFE-43B2-A1C1-776F24285837}"/>
            </c:ext>
          </c:extLst>
        </c:ser>
        <c:dLbls>
          <c:showLegendKey val="0"/>
          <c:showVal val="1"/>
          <c:showCatName val="0"/>
          <c:showSerName val="0"/>
          <c:showPercent val="0"/>
          <c:showBubbleSize val="0"/>
          <c:showLeaderLines val="1"/>
        </c:dLbls>
        <c:firstSliceAng val="0"/>
        <c:holeSize val="50"/>
      </c:doughnutChart>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r>
              <a:rPr lang="de-DE" sz="1200" b="1" i="0" u="none" strike="noStrike" kern="1200" spc="0" baseline="0">
                <a:solidFill>
                  <a:sysClr val="windowText" lastClr="000000">
                    <a:lumMod val="65000"/>
                    <a:lumOff val="35000"/>
                  </a:sysClr>
                </a:solidFill>
                <a:latin typeface="+mn-lt"/>
                <a:ea typeface="+mn-ea"/>
                <a:cs typeface="+mn-cs"/>
              </a:rPr>
              <a:t>Stromverbrauch nach Quelle</a:t>
            </a:r>
          </a:p>
        </c:rich>
      </c:tx>
      <c:overlay val="0"/>
      <c:spPr>
        <a:noFill/>
        <a:ln>
          <a:noFill/>
        </a:ln>
        <a:effectLst/>
      </c:spPr>
      <c:txPr>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manualLayout>
          <c:layoutTarget val="inner"/>
          <c:xMode val="edge"/>
          <c:yMode val="edge"/>
          <c:x val="0.31904362316582524"/>
          <c:y val="0.438301600557223"/>
          <c:w val="0.64127754178474006"/>
          <c:h val="0.2930990784670534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Ergebnisse!$C$119</c:f>
              <c:strCache>
                <c:ptCount val="1"/>
                <c:pt idx="0">
                  <c:v>Strombezug (Deutschland) - Netzbezug</c:v>
                </c:pt>
              </c:strCache>
            </c:strRef>
          </c:cat>
          <c:val>
            <c:numRef>
              <c:f>Ergebnisse!$D$119</c:f>
              <c:numCache>
                <c:formatCode>#,##0.0</c:formatCode>
                <c:ptCount val="1"/>
                <c:pt idx="0">
                  <c:v>0</c:v>
                </c:pt>
              </c:numCache>
            </c:numRef>
          </c:val>
          <c:extLst>
            <c:ext xmlns:c16="http://schemas.microsoft.com/office/drawing/2014/chart" uri="{C3380CC4-5D6E-409C-BE32-E72D297353CC}">
              <c16:uniqueId val="{00000000-30C8-45F1-ADCC-C4074A603E9C}"/>
            </c:ext>
          </c:extLst>
        </c:ser>
        <c:dLbls>
          <c:showLegendKey val="0"/>
          <c:showVal val="0"/>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Stromverbrauch [MWh]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r>
              <a:rPr lang="de-DE" sz="1200" b="1" i="0" u="none" strike="noStrike" kern="1200" spc="0" baseline="0">
                <a:solidFill>
                  <a:sysClr val="windowText" lastClr="000000">
                    <a:lumMod val="65000"/>
                    <a:lumOff val="35000"/>
                  </a:sysClr>
                </a:solidFill>
                <a:latin typeface="+mn-lt"/>
                <a:ea typeface="+mn-ea"/>
                <a:cs typeface="+mn-cs"/>
              </a:rPr>
              <a:t>Stromerzeugung nach Quelle</a:t>
            </a:r>
          </a:p>
        </c:rich>
      </c:tx>
      <c:overlay val="0"/>
      <c:spPr>
        <a:noFill/>
        <a:ln>
          <a:noFill/>
        </a:ln>
        <a:effectLst/>
      </c:spPr>
      <c:txPr>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manualLayout>
          <c:layoutTarget val="inner"/>
          <c:xMode val="edge"/>
          <c:yMode val="edge"/>
          <c:x val="0.30885860012554922"/>
          <c:y val="0.33470989842281801"/>
          <c:w val="0.64352730696798488"/>
          <c:h val="0.5095447661187366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Ergebnisse!$C$124:$C$125</c:f>
              <c:strCache>
                <c:ptCount val="2"/>
                <c:pt idx="0">
                  <c:v>Diesel-Notstromaggregat</c:v>
                </c:pt>
                <c:pt idx="1">
                  <c:v>Strom Eigenerzeugung (Photovoltaik)</c:v>
                </c:pt>
              </c:strCache>
            </c:strRef>
          </c:cat>
          <c:val>
            <c:numRef>
              <c:f>Ergebnisse!$D$124:$D$125</c:f>
              <c:numCache>
                <c:formatCode>#,##0.0</c:formatCode>
                <c:ptCount val="2"/>
                <c:pt idx="0">
                  <c:v>0</c:v>
                </c:pt>
                <c:pt idx="1">
                  <c:v>0</c:v>
                </c:pt>
              </c:numCache>
            </c:numRef>
          </c:val>
          <c:extLst>
            <c:ext xmlns:c16="http://schemas.microsoft.com/office/drawing/2014/chart" uri="{C3380CC4-5D6E-409C-BE32-E72D297353CC}">
              <c16:uniqueId val="{00000000-ABC0-4E4E-A655-5889817C2156}"/>
            </c:ext>
          </c:extLst>
        </c:ser>
        <c:dLbls>
          <c:showLegendKey val="0"/>
          <c:showVal val="0"/>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Stromerzeugung [MWh]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r>
              <a:rPr lang="de-DE" sz="1200" b="1" i="0" u="none" strike="noStrike" kern="1200" spc="0" baseline="0">
                <a:solidFill>
                  <a:sysClr val="windowText" lastClr="000000">
                    <a:lumMod val="65000"/>
                    <a:lumOff val="35000"/>
                  </a:sysClr>
                </a:solidFill>
                <a:latin typeface="+mn-lt"/>
                <a:ea typeface="+mn-ea"/>
                <a:cs typeface="+mn-cs"/>
              </a:rPr>
              <a:t>Wärmeverbrauch nach Quelle</a:t>
            </a:r>
          </a:p>
        </c:rich>
      </c:tx>
      <c:overlay val="0"/>
      <c:spPr>
        <a:noFill/>
        <a:ln>
          <a:noFill/>
        </a:ln>
        <a:effectLst/>
      </c:spPr>
      <c:txPr>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manualLayout>
          <c:layoutTarget val="inner"/>
          <c:xMode val="edge"/>
          <c:yMode val="edge"/>
          <c:x val="0.13288035352883595"/>
          <c:y val="0.21270286522459209"/>
          <c:w val="0.81928938563663201"/>
          <c:h val="0.6883234287288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Ergebnisse!$C$224:$C$231</c:f>
              <c:strCache>
                <c:ptCount val="8"/>
                <c:pt idx="0">
                  <c:v>Erdgas</c:v>
                </c:pt>
                <c:pt idx="1">
                  <c:v>Biogas</c:v>
                </c:pt>
                <c:pt idx="2">
                  <c:v>Biomethan</c:v>
                </c:pt>
                <c:pt idx="3">
                  <c:v>Heizöl</c:v>
                </c:pt>
                <c:pt idx="4">
                  <c:v>Sonstiges</c:v>
                </c:pt>
                <c:pt idx="5">
                  <c:v>Fernwärme</c:v>
                </c:pt>
                <c:pt idx="6">
                  <c:v>Holzpellets</c:v>
                </c:pt>
                <c:pt idx="7">
                  <c:v>Solarthermie</c:v>
                </c:pt>
              </c:strCache>
            </c:strRef>
          </c:cat>
          <c:val>
            <c:numRef>
              <c:f>Ergebnisse!$D$224:$D$231</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7DB9-4A15-8688-55B50CCC8AC8}"/>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Wärmeverbrauch [MWh]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r>
              <a:rPr lang="de-DE" sz="1200" b="1" i="0" u="none" strike="noStrike" kern="1200" spc="0" baseline="0">
                <a:solidFill>
                  <a:sysClr val="windowText" lastClr="000000">
                    <a:lumMod val="65000"/>
                    <a:lumOff val="35000"/>
                  </a:sysClr>
                </a:solidFill>
                <a:latin typeface="+mn-lt"/>
                <a:ea typeface="+mn-ea"/>
                <a:cs typeface="+mn-cs"/>
              </a:rPr>
              <a:t>Stromverbrauch nach Quelle</a:t>
            </a:r>
          </a:p>
        </c:rich>
      </c:tx>
      <c:overlay val="0"/>
      <c:spPr>
        <a:noFill/>
        <a:ln>
          <a:noFill/>
        </a:ln>
        <a:effectLst/>
      </c:spPr>
      <c:txPr>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manualLayout>
          <c:layoutTarget val="inner"/>
          <c:xMode val="edge"/>
          <c:yMode val="edge"/>
          <c:x val="0.38935385706024622"/>
          <c:y val="0.438301600557223"/>
          <c:w val="0.57498502367722792"/>
          <c:h val="0.2930990784670534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Ergebnisse!$C$236</c:f>
              <c:strCache>
                <c:ptCount val="1"/>
                <c:pt idx="0">
                  <c:v>Strombezug (Deutschland) - Netzbezug</c:v>
                </c:pt>
              </c:strCache>
            </c:strRef>
          </c:cat>
          <c:val>
            <c:numRef>
              <c:f>Ergebnisse!$D$236</c:f>
              <c:numCache>
                <c:formatCode>#,##0.0</c:formatCode>
                <c:ptCount val="1"/>
                <c:pt idx="0">
                  <c:v>0</c:v>
                </c:pt>
              </c:numCache>
            </c:numRef>
          </c:val>
          <c:extLst>
            <c:ext xmlns:c16="http://schemas.microsoft.com/office/drawing/2014/chart" uri="{C3380CC4-5D6E-409C-BE32-E72D297353CC}">
              <c16:uniqueId val="{00000000-D25F-46F0-A6B2-D1669CB22216}"/>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Stromverbrauch [MWh]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solidFill>
                  <a:srgbClr val="595959"/>
                </a:solidFill>
              </a:rPr>
              <a:t>Emissionen nach Thema - </a:t>
            </a:r>
            <a:r>
              <a:rPr lang="de-DE" sz="1200" b="1">
                <a:solidFill>
                  <a:srgbClr val="595959"/>
                </a:solidFill>
              </a:rPr>
              <a:t>KlimaBilanzKultur+ (KBK+)</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manualLayout>
          <c:layoutTarget val="inner"/>
          <c:xMode val="edge"/>
          <c:yMode val="edge"/>
          <c:x val="0.22087225959816564"/>
          <c:y val="0.34258804085592975"/>
          <c:w val="0.74379110257798298"/>
          <c:h val="0.50543867097007811"/>
        </c:manualLayout>
      </c:layout>
      <c:barChart>
        <c:barDir val="bar"/>
        <c:grouping val="clustered"/>
        <c:varyColors val="0"/>
        <c:ser>
          <c:idx val="0"/>
          <c:order val="0"/>
          <c:spPr>
            <a:solidFill>
              <a:srgbClr val="5ABEFF"/>
            </a:solidFill>
            <a:ln>
              <a:noFill/>
            </a:ln>
            <a:effectLst/>
          </c:spPr>
          <c:invertIfNegative val="0"/>
          <c:dPt>
            <c:idx val="0"/>
            <c:invertIfNegative val="0"/>
            <c:bubble3D val="0"/>
            <c:spPr>
              <a:solidFill>
                <a:srgbClr val="5ABEFF"/>
              </a:solidFill>
              <a:ln>
                <a:noFill/>
              </a:ln>
              <a:effectLst/>
            </c:spPr>
            <c:extLst>
              <c:ext xmlns:c16="http://schemas.microsoft.com/office/drawing/2014/chart" uri="{C3380CC4-5D6E-409C-BE32-E72D297353CC}">
                <c16:uniqueId val="{00000001-446F-4258-AC94-6B66C48F5CD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Ergebnisse!$C$38:$C$41</c:f>
              <c:strCache>
                <c:ptCount val="4"/>
                <c:pt idx="0">
                  <c:v>Anreise der Besuchenden</c:v>
                </c:pt>
                <c:pt idx="1">
                  <c:v>Einkauf Medien</c:v>
                </c:pt>
                <c:pt idx="2">
                  <c:v>IT-Dienstleistungen</c:v>
                </c:pt>
                <c:pt idx="3">
                  <c:v>Relevante Stoffströme</c:v>
                </c:pt>
              </c:strCache>
            </c:strRef>
          </c:cat>
          <c:val>
            <c:numRef>
              <c:f>Ergebnisse!$G$38:$G$41</c:f>
              <c:numCache>
                <c:formatCode>#,##0.0</c:formatCode>
                <c:ptCount val="4"/>
                <c:pt idx="0">
                  <c:v>0</c:v>
                </c:pt>
                <c:pt idx="1">
                  <c:v>0</c:v>
                </c:pt>
                <c:pt idx="2">
                  <c:v>0</c:v>
                </c:pt>
                <c:pt idx="3">
                  <c:v>0</c:v>
                </c:pt>
              </c:numCache>
            </c:numRef>
          </c:val>
          <c:extLst>
            <c:ext xmlns:c16="http://schemas.microsoft.com/office/drawing/2014/chart" uri="{C3380CC4-5D6E-409C-BE32-E72D297353CC}">
              <c16:uniqueId val="{00000002-446F-4258-AC94-6B66C48F5CD2}"/>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Treibhausgasemissionen [t CO2e]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r>
              <a:rPr lang="de-DE" sz="1200" b="1" i="0" u="none" strike="noStrike" kern="1200" spc="0" baseline="0">
                <a:solidFill>
                  <a:sysClr val="windowText" lastClr="000000">
                    <a:lumMod val="65000"/>
                    <a:lumOff val="35000"/>
                  </a:sysClr>
                </a:solidFill>
                <a:latin typeface="+mn-lt"/>
                <a:ea typeface="+mn-ea"/>
                <a:cs typeface="+mn-cs"/>
              </a:rPr>
              <a:t>Stromerzeugung nach Quelle</a:t>
            </a:r>
          </a:p>
        </c:rich>
      </c:tx>
      <c:overlay val="0"/>
      <c:spPr>
        <a:noFill/>
        <a:ln>
          <a:noFill/>
        </a:ln>
        <a:effectLst/>
      </c:spPr>
      <c:txPr>
        <a:bodyPr rot="0" spcFirstLastPara="1" vertOverflow="ellipsis" vert="horz" wrap="square" anchor="ctr" anchorCtr="1"/>
        <a:lstStyle/>
        <a:p>
          <a:pPr algn="ctr" rtl="0">
            <a:defRPr lang="de-DE" sz="1200" b="1"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manualLayout>
          <c:layoutTarget val="inner"/>
          <c:xMode val="edge"/>
          <c:yMode val="edge"/>
          <c:x val="0.30885860012554922"/>
          <c:y val="0.33470989842281801"/>
          <c:w val="0.64352730696798488"/>
          <c:h val="0.5095447661187366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Ergebnisse!$C$241:$C$242</c:f>
              <c:strCache>
                <c:ptCount val="2"/>
                <c:pt idx="0">
                  <c:v>Diesel-Notstromaggregat</c:v>
                </c:pt>
                <c:pt idx="1">
                  <c:v>Strom Eigenerzeugung (Photovoltaik)</c:v>
                </c:pt>
              </c:strCache>
            </c:strRef>
          </c:cat>
          <c:val>
            <c:numRef>
              <c:f>Ergebnisse!$D$241:$D$242</c:f>
              <c:numCache>
                <c:formatCode>#,##0.0</c:formatCode>
                <c:ptCount val="2"/>
                <c:pt idx="0">
                  <c:v>0</c:v>
                </c:pt>
                <c:pt idx="1">
                  <c:v>0</c:v>
                </c:pt>
              </c:numCache>
            </c:numRef>
          </c:val>
          <c:extLst>
            <c:ext xmlns:c16="http://schemas.microsoft.com/office/drawing/2014/chart" uri="{C3380CC4-5D6E-409C-BE32-E72D297353CC}">
              <c16:uniqueId val="{00000000-5D09-4707-8B99-018F38AE5437}"/>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Stromerzeugung [MWh]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solidFill>
                  <a:srgbClr val="595959"/>
                </a:solidFill>
              </a:rPr>
              <a:t>Emissionen nach Thema - </a:t>
            </a:r>
            <a:r>
              <a:rPr lang="de-DE" sz="1200" b="1">
                <a:solidFill>
                  <a:srgbClr val="595959"/>
                </a:solidFill>
              </a:rPr>
              <a:t>KBK</a:t>
            </a:r>
            <a:r>
              <a:rPr lang="de-DE" sz="1200" b="1" baseline="0">
                <a:solidFill>
                  <a:srgbClr val="595959"/>
                </a:solidFill>
              </a:rPr>
              <a:t> und </a:t>
            </a:r>
            <a:r>
              <a:rPr lang="de-DE" sz="1200" b="1" i="0" u="none" strike="noStrike" kern="1200" spc="0" baseline="0">
                <a:solidFill>
                  <a:srgbClr val="595959"/>
                </a:solidFill>
              </a:rPr>
              <a:t>KBK+</a:t>
            </a:r>
            <a:endParaRPr lang="de-DE" sz="1200" b="1">
              <a:solidFill>
                <a:srgbClr val="595959"/>
              </a:solidFill>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bar"/>
        <c:grouping val="clustered"/>
        <c:varyColors val="0"/>
        <c:ser>
          <c:idx val="0"/>
          <c:order val="0"/>
          <c:spPr>
            <a:solidFill>
              <a:srgbClr val="4472C4"/>
            </a:solidFill>
            <a:ln>
              <a:noFill/>
            </a:ln>
            <a:effectLst/>
          </c:spPr>
          <c:invertIfNegative val="0"/>
          <c:dPt>
            <c:idx val="0"/>
            <c:invertIfNegative val="0"/>
            <c:bubble3D val="0"/>
            <c:spPr>
              <a:solidFill>
                <a:srgbClr val="4472C4"/>
              </a:solidFill>
              <a:ln>
                <a:noFill/>
              </a:ln>
              <a:effectLst/>
            </c:spPr>
            <c:extLst>
              <c:ext xmlns:c16="http://schemas.microsoft.com/office/drawing/2014/chart" uri="{C3380CC4-5D6E-409C-BE32-E72D297353CC}">
                <c16:uniqueId val="{00000001-1185-44BF-91D9-37B355BEBA4B}"/>
              </c:ext>
            </c:extLst>
          </c:dPt>
          <c:dPt>
            <c:idx val="1"/>
            <c:invertIfNegative val="0"/>
            <c:bubble3D val="0"/>
            <c:spPr>
              <a:solidFill>
                <a:srgbClr val="4472C4"/>
              </a:solidFill>
              <a:ln>
                <a:noFill/>
              </a:ln>
              <a:effectLst/>
            </c:spPr>
            <c:extLst>
              <c:ext xmlns:c16="http://schemas.microsoft.com/office/drawing/2014/chart" uri="{C3380CC4-5D6E-409C-BE32-E72D297353CC}">
                <c16:uniqueId val="{00000003-1185-44BF-91D9-37B355BEBA4B}"/>
              </c:ext>
            </c:extLst>
          </c:dPt>
          <c:dPt>
            <c:idx val="3"/>
            <c:invertIfNegative val="0"/>
            <c:bubble3D val="0"/>
            <c:spPr>
              <a:solidFill>
                <a:srgbClr val="4472C4"/>
              </a:solidFill>
              <a:ln>
                <a:noFill/>
              </a:ln>
              <a:effectLst/>
            </c:spPr>
            <c:extLst>
              <c:ext xmlns:c16="http://schemas.microsoft.com/office/drawing/2014/chart" uri="{C3380CC4-5D6E-409C-BE32-E72D297353CC}">
                <c16:uniqueId val="{00000005-1185-44BF-91D9-37B355BEBA4B}"/>
              </c:ext>
            </c:extLst>
          </c:dPt>
          <c:dPt>
            <c:idx val="4"/>
            <c:invertIfNegative val="0"/>
            <c:bubble3D val="0"/>
            <c:spPr>
              <a:solidFill>
                <a:srgbClr val="4472C4"/>
              </a:solidFill>
              <a:ln>
                <a:noFill/>
              </a:ln>
              <a:effectLst/>
            </c:spPr>
            <c:extLst>
              <c:ext xmlns:c16="http://schemas.microsoft.com/office/drawing/2014/chart" uri="{C3380CC4-5D6E-409C-BE32-E72D297353CC}">
                <c16:uniqueId val="{00000007-1185-44BF-91D9-37B355BEBA4B}"/>
              </c:ext>
            </c:extLst>
          </c:dPt>
          <c:dPt>
            <c:idx val="5"/>
            <c:invertIfNegative val="0"/>
            <c:bubble3D val="0"/>
            <c:spPr>
              <a:solidFill>
                <a:srgbClr val="4472C4"/>
              </a:solidFill>
              <a:ln>
                <a:noFill/>
              </a:ln>
              <a:effectLst/>
            </c:spPr>
            <c:extLst>
              <c:ext xmlns:c16="http://schemas.microsoft.com/office/drawing/2014/chart" uri="{C3380CC4-5D6E-409C-BE32-E72D297353CC}">
                <c16:uniqueId val="{00000009-1185-44BF-91D9-37B355BEBA4B}"/>
              </c:ext>
            </c:extLst>
          </c:dPt>
          <c:dPt>
            <c:idx val="8"/>
            <c:invertIfNegative val="0"/>
            <c:bubble3D val="0"/>
            <c:spPr>
              <a:solidFill>
                <a:srgbClr val="5ABEFF"/>
              </a:solidFill>
              <a:ln>
                <a:noFill/>
              </a:ln>
              <a:effectLst/>
            </c:spPr>
            <c:extLst>
              <c:ext xmlns:c16="http://schemas.microsoft.com/office/drawing/2014/chart" uri="{C3380CC4-5D6E-409C-BE32-E72D297353CC}">
                <c16:uniqueId val="{0000000B-8434-4619-9858-A78A14F8B5BE}"/>
              </c:ext>
            </c:extLst>
          </c:dPt>
          <c:dPt>
            <c:idx val="9"/>
            <c:invertIfNegative val="0"/>
            <c:bubble3D val="0"/>
            <c:spPr>
              <a:solidFill>
                <a:srgbClr val="5ABEFF"/>
              </a:solidFill>
              <a:ln>
                <a:noFill/>
              </a:ln>
              <a:effectLst/>
            </c:spPr>
            <c:extLst>
              <c:ext xmlns:c16="http://schemas.microsoft.com/office/drawing/2014/chart" uri="{C3380CC4-5D6E-409C-BE32-E72D297353CC}">
                <c16:uniqueId val="{0000000B-1185-44BF-91D9-37B355BEBA4B}"/>
              </c:ext>
            </c:extLst>
          </c:dPt>
          <c:dPt>
            <c:idx val="10"/>
            <c:invertIfNegative val="0"/>
            <c:bubble3D val="0"/>
            <c:spPr>
              <a:solidFill>
                <a:srgbClr val="5ABEFF"/>
              </a:solidFill>
              <a:ln>
                <a:noFill/>
              </a:ln>
              <a:effectLst/>
            </c:spPr>
            <c:extLst>
              <c:ext xmlns:c16="http://schemas.microsoft.com/office/drawing/2014/chart" uri="{C3380CC4-5D6E-409C-BE32-E72D297353CC}">
                <c16:uniqueId val="{0000000F-8434-4619-9858-A78A14F8B5BE}"/>
              </c:ext>
            </c:extLst>
          </c:dPt>
          <c:dPt>
            <c:idx val="11"/>
            <c:invertIfNegative val="0"/>
            <c:bubble3D val="0"/>
            <c:spPr>
              <a:solidFill>
                <a:srgbClr val="5ABEFF"/>
              </a:solidFill>
              <a:ln>
                <a:noFill/>
              </a:ln>
              <a:effectLst/>
            </c:spPr>
            <c:extLst>
              <c:ext xmlns:c16="http://schemas.microsoft.com/office/drawing/2014/chart" uri="{C3380CC4-5D6E-409C-BE32-E72D297353CC}">
                <c16:uniqueId val="{00000011-8434-4619-9858-A78A14F8B5B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(Ergebnisse!$C$29:$C$36,Ergebnisse!$C$38:$C$41)</c:f>
              <c:strCache>
                <c:ptCount val="12"/>
                <c:pt idx="0">
                  <c:v>Wärme</c:v>
                </c:pt>
                <c:pt idx="1">
                  <c:v>Strom</c:v>
                </c:pt>
                <c:pt idx="2">
                  <c:v>Kühl- und Kältemittel</c:v>
                </c:pt>
                <c:pt idx="3">
                  <c:v>Fuhrpark</c:v>
                </c:pt>
                <c:pt idx="4">
                  <c:v>Geschäftsreisen</c:v>
                </c:pt>
                <c:pt idx="5">
                  <c:v>Pendeln der Mitarbeitenden</c:v>
                </c:pt>
                <c:pt idx="6">
                  <c:v>Externe</c:v>
                </c:pt>
                <c:pt idx="7">
                  <c:v>Warentransporte</c:v>
                </c:pt>
                <c:pt idx="8">
                  <c:v>Anreise der Besuchenden</c:v>
                </c:pt>
                <c:pt idx="9">
                  <c:v>Einkauf Medien</c:v>
                </c:pt>
                <c:pt idx="10">
                  <c:v>IT-Dienstleistungen</c:v>
                </c:pt>
                <c:pt idx="11">
                  <c:v>Relevante Stoffströme</c:v>
                </c:pt>
              </c:strCache>
            </c:strRef>
          </c:cat>
          <c:val>
            <c:numRef>
              <c:f>(Ergebnisse!$G$29:$G$36,Ergebnisse!$G$38:$G$41)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0-1185-44BF-91D9-37B355BEBA4B}"/>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Treibhausgasemissionen [t CO2e]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solidFill>
                  <a:srgbClr val="595959"/>
                </a:solidFill>
              </a:rPr>
              <a:t>Emissionen nach Thema - </a:t>
            </a:r>
            <a:r>
              <a:rPr lang="de-DE" sz="1200" b="1">
                <a:solidFill>
                  <a:srgbClr val="595959"/>
                </a:solidFill>
              </a:rPr>
              <a:t>KlimaBilanz</a:t>
            </a:r>
            <a:r>
              <a:rPr lang="de-DE" sz="1200" b="1" baseline="0">
                <a:solidFill>
                  <a:srgbClr val="595959"/>
                </a:solidFill>
              </a:rPr>
              <a:t>Kultur (KBK) </a:t>
            </a:r>
            <a:endParaRPr lang="de-DE" sz="1200" b="1">
              <a:solidFill>
                <a:srgbClr val="595959"/>
              </a:solidFill>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bar"/>
        <c:grouping val="clustered"/>
        <c:varyColors val="0"/>
        <c:ser>
          <c:idx val="0"/>
          <c:order val="0"/>
          <c:spPr>
            <a:solidFill>
              <a:srgbClr val="4472C4"/>
            </a:solidFill>
            <a:ln>
              <a:noFill/>
            </a:ln>
            <a:effectLst/>
          </c:spPr>
          <c:invertIfNegative val="0"/>
          <c:dPt>
            <c:idx val="0"/>
            <c:invertIfNegative val="0"/>
            <c:bubble3D val="0"/>
            <c:spPr>
              <a:solidFill>
                <a:srgbClr val="4472C4"/>
              </a:solidFill>
              <a:ln>
                <a:noFill/>
              </a:ln>
              <a:effectLst/>
            </c:spPr>
            <c:extLst>
              <c:ext xmlns:c16="http://schemas.microsoft.com/office/drawing/2014/chart" uri="{C3380CC4-5D6E-409C-BE32-E72D297353CC}">
                <c16:uniqueId val="{00000001-A45D-426B-9B7E-3E1F6C365AF3}"/>
              </c:ext>
            </c:extLst>
          </c:dPt>
          <c:dPt>
            <c:idx val="1"/>
            <c:invertIfNegative val="0"/>
            <c:bubble3D val="0"/>
            <c:spPr>
              <a:solidFill>
                <a:srgbClr val="4472C4"/>
              </a:solidFill>
              <a:ln>
                <a:noFill/>
              </a:ln>
              <a:effectLst/>
            </c:spPr>
            <c:extLst>
              <c:ext xmlns:c16="http://schemas.microsoft.com/office/drawing/2014/chart" uri="{C3380CC4-5D6E-409C-BE32-E72D297353CC}">
                <c16:uniqueId val="{00000003-A45D-426B-9B7E-3E1F6C365AF3}"/>
              </c:ext>
            </c:extLst>
          </c:dPt>
          <c:dPt>
            <c:idx val="3"/>
            <c:invertIfNegative val="0"/>
            <c:bubble3D val="0"/>
            <c:spPr>
              <a:solidFill>
                <a:srgbClr val="4472C4"/>
              </a:solidFill>
              <a:ln>
                <a:noFill/>
              </a:ln>
              <a:effectLst/>
            </c:spPr>
            <c:extLst>
              <c:ext xmlns:c16="http://schemas.microsoft.com/office/drawing/2014/chart" uri="{C3380CC4-5D6E-409C-BE32-E72D297353CC}">
                <c16:uniqueId val="{00000005-A45D-426B-9B7E-3E1F6C365AF3}"/>
              </c:ext>
            </c:extLst>
          </c:dPt>
          <c:dPt>
            <c:idx val="4"/>
            <c:invertIfNegative val="0"/>
            <c:bubble3D val="0"/>
            <c:spPr>
              <a:solidFill>
                <a:srgbClr val="4472C4"/>
              </a:solidFill>
              <a:ln>
                <a:noFill/>
              </a:ln>
              <a:effectLst/>
            </c:spPr>
            <c:extLst>
              <c:ext xmlns:c16="http://schemas.microsoft.com/office/drawing/2014/chart" uri="{C3380CC4-5D6E-409C-BE32-E72D297353CC}">
                <c16:uniqueId val="{00000007-A45D-426B-9B7E-3E1F6C365AF3}"/>
              </c:ext>
            </c:extLst>
          </c:dPt>
          <c:dPt>
            <c:idx val="5"/>
            <c:invertIfNegative val="0"/>
            <c:bubble3D val="0"/>
            <c:spPr>
              <a:solidFill>
                <a:srgbClr val="4472C4"/>
              </a:solidFill>
              <a:ln>
                <a:noFill/>
              </a:ln>
              <a:effectLst/>
            </c:spPr>
            <c:extLst>
              <c:ext xmlns:c16="http://schemas.microsoft.com/office/drawing/2014/chart" uri="{C3380CC4-5D6E-409C-BE32-E72D297353CC}">
                <c16:uniqueId val="{00000009-A45D-426B-9B7E-3E1F6C365AF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Ergebnisse!$C$29:$C$36</c:f>
              <c:strCache>
                <c:ptCount val="8"/>
                <c:pt idx="0">
                  <c:v>Wärme</c:v>
                </c:pt>
                <c:pt idx="1">
                  <c:v>Strom</c:v>
                </c:pt>
                <c:pt idx="2">
                  <c:v>Kühl- und Kältemittel</c:v>
                </c:pt>
                <c:pt idx="3">
                  <c:v>Fuhrpark</c:v>
                </c:pt>
                <c:pt idx="4">
                  <c:v>Geschäftsreisen</c:v>
                </c:pt>
                <c:pt idx="5">
                  <c:v>Pendeln der Mitarbeitenden</c:v>
                </c:pt>
                <c:pt idx="6">
                  <c:v>Externe</c:v>
                </c:pt>
                <c:pt idx="7">
                  <c:v>Warentransporte</c:v>
                </c:pt>
              </c:strCache>
            </c:strRef>
          </c:cat>
          <c:val>
            <c:numRef>
              <c:f>Ergebnisse!$G$29:$G$36</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A-A45D-426B-9B7E-3E1F6C365AF3}"/>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Treibhausgasemissionen [t CO2e]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Gesamtemissionen - </a:t>
            </a:r>
            <a:r>
              <a:rPr lang="de-DE" sz="1200" b="1" i="0" u="none" strike="noStrike" kern="1200" spc="0" baseline="0">
                <a:solidFill>
                  <a:sysClr val="windowText" lastClr="000000">
                    <a:lumMod val="65000"/>
                    <a:lumOff val="35000"/>
                  </a:sysClr>
                </a:solidFill>
              </a:rPr>
              <a:t>KlimaBilanzKultur (KBK)</a:t>
            </a:r>
            <a:br>
              <a:rPr lang="en-US" sz="1200"/>
            </a:br>
            <a:r>
              <a:rPr lang="en-US" sz="1200"/>
              <a:t>[t CO2e]</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30663101487314087"/>
          <c:y val="0.198034385905307"/>
          <c:w val="0.39507152230971126"/>
          <c:h val="0.65564039628801229"/>
        </c:manualLayout>
      </c:layout>
      <c:doughnutChart>
        <c:varyColors val="1"/>
        <c:ser>
          <c:idx val="1"/>
          <c:order val="0"/>
          <c:tx>
            <c:v>Gesamtemissionen [t CO2e]</c:v>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3827-4D65-A4A7-3550E26F7C45}"/>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3827-4D65-A4A7-3550E26F7C45}"/>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3827-4D65-A4A7-3550E26F7C4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(Ergebnisse!$C$60,Ergebnisse!$C$64,Ergebnisse!$C$73)</c:f>
              <c:strCache>
                <c:ptCount val="3"/>
                <c:pt idx="0">
                  <c:v>Scope 1</c:v>
                </c:pt>
                <c:pt idx="1">
                  <c:v>Scope 2</c:v>
                </c:pt>
                <c:pt idx="2">
                  <c:v>Scope 3</c:v>
                </c:pt>
              </c:strCache>
            </c:strRef>
          </c:cat>
          <c:val>
            <c:numRef>
              <c:f>(Ergebnisse!$D$60,Ergebnisse!$D$64,Ergebnisse!$D$73)</c:f>
              <c:numCache>
                <c:formatCode>#,##0.0</c:formatCode>
                <c:ptCount val="3"/>
                <c:pt idx="0">
                  <c:v>0</c:v>
                </c:pt>
                <c:pt idx="1">
                  <c:v>0</c:v>
                </c:pt>
                <c:pt idx="2">
                  <c:v>0</c:v>
                </c:pt>
              </c:numCache>
            </c:numRef>
          </c:val>
          <c:extLst>
            <c:ext xmlns:c16="http://schemas.microsoft.com/office/drawing/2014/chart" uri="{C3380CC4-5D6E-409C-BE32-E72D297353CC}">
              <c16:uniqueId val="{00000006-3827-4D65-A4A7-3550E26F7C45}"/>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solidFill>
                  <a:srgbClr val="595959"/>
                </a:solidFill>
              </a:rPr>
              <a:t>Gesamtemissionen - </a:t>
            </a:r>
            <a:r>
              <a:rPr lang="de-DE" sz="1200" b="1" i="0" u="none" strike="noStrike" kern="1200" spc="0" baseline="0">
                <a:solidFill>
                  <a:srgbClr val="595959"/>
                </a:solidFill>
              </a:rPr>
              <a:t>KBK und KBK+</a:t>
            </a:r>
            <a:br>
              <a:rPr lang="de-DE" sz="1200" b="1" i="0" u="none" strike="noStrike" kern="1200" spc="0" baseline="0">
                <a:solidFill>
                  <a:srgbClr val="595959"/>
                </a:solidFill>
              </a:rPr>
            </a:br>
            <a:r>
              <a:rPr lang="en-US" sz="1200">
                <a:solidFill>
                  <a:srgbClr val="595959"/>
                </a:solidFill>
              </a:rPr>
              <a:t>[t CO2e]</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30663101487314087"/>
          <c:y val="0.198034385905307"/>
          <c:w val="0.39507152230971126"/>
          <c:h val="0.65564039628801229"/>
        </c:manualLayout>
      </c:layout>
      <c:doughnutChart>
        <c:varyColors val="1"/>
        <c:ser>
          <c:idx val="1"/>
          <c:order val="0"/>
          <c:tx>
            <c:v>Gesamtemissionen [t CO2e]</c:v>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72D9-43E0-8CAC-836635663455}"/>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72D9-43E0-8CAC-836635663455}"/>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72D9-43E0-8CAC-83663566345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(Ergebnisse!$C$60,Ergebnisse!$C$64,Ergebnisse!$C$73)</c:f>
              <c:strCache>
                <c:ptCount val="3"/>
                <c:pt idx="0">
                  <c:v>Scope 1</c:v>
                </c:pt>
                <c:pt idx="1">
                  <c:v>Scope 2</c:v>
                </c:pt>
                <c:pt idx="2">
                  <c:v>Scope 3</c:v>
                </c:pt>
              </c:strCache>
            </c:strRef>
          </c:cat>
          <c:val>
            <c:numRef>
              <c:f>(Ergebnisse!$F$60,Ergebnisse!$F$64,Ergebnisse!$F$73)</c:f>
              <c:numCache>
                <c:formatCode>#,##0.0</c:formatCode>
                <c:ptCount val="3"/>
                <c:pt idx="0">
                  <c:v>0</c:v>
                </c:pt>
                <c:pt idx="1">
                  <c:v>0</c:v>
                </c:pt>
                <c:pt idx="2">
                  <c:v>0</c:v>
                </c:pt>
              </c:numCache>
            </c:numRef>
          </c:val>
          <c:extLst>
            <c:ext xmlns:c16="http://schemas.microsoft.com/office/drawing/2014/chart" uri="{C3380CC4-5D6E-409C-BE32-E72D297353CC}">
              <c16:uniqueId val="{00000006-72D9-43E0-8CAC-836635663455}"/>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solidFill>
                  <a:srgbClr val="595959"/>
                </a:solidFill>
              </a:rPr>
              <a:t>Gesamtemissionen nach Scope - </a:t>
            </a:r>
            <a:r>
              <a:rPr lang="de-DE" sz="1200" b="1" i="0" u="none" strike="noStrike" kern="1200" spc="0" baseline="0">
                <a:solidFill>
                  <a:srgbClr val="595959"/>
                </a:solidFill>
              </a:rPr>
              <a:t>KlimaBilanzKultur (KBK)</a:t>
            </a:r>
            <a:endParaRPr lang="de-DE" sz="1200" b="1">
              <a:solidFill>
                <a:srgbClr val="595959"/>
              </a:solidFill>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1-62B3-48C2-B044-E93AF9D001B3}"/>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3-6437-41E1-AE1A-F4C34F17F99B}"/>
              </c:ext>
            </c:extLst>
          </c:dPt>
          <c:dPt>
            <c:idx val="4"/>
            <c:invertIfNegative val="0"/>
            <c:bubble3D val="0"/>
            <c:spPr>
              <a:solidFill>
                <a:schemeClr val="accent4"/>
              </a:solidFill>
              <a:ln>
                <a:noFill/>
              </a:ln>
              <a:effectLst/>
            </c:spPr>
            <c:extLst>
              <c:ext xmlns:c16="http://schemas.microsoft.com/office/drawing/2014/chart" uri="{C3380CC4-5D6E-409C-BE32-E72D297353CC}">
                <c16:uniqueId val="{00000003-62B3-48C2-B044-E93AF9D001B3}"/>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62B3-48C2-B044-E93AF9D001B3}"/>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7-62B3-48C2-B044-E93AF9D001B3}"/>
              </c:ext>
            </c:extLst>
          </c:dPt>
          <c:dPt>
            <c:idx val="7"/>
            <c:invertIfNegative val="0"/>
            <c:bubble3D val="0"/>
            <c:spPr>
              <a:solidFill>
                <a:schemeClr val="accent1"/>
              </a:solidFill>
              <a:ln>
                <a:noFill/>
              </a:ln>
              <a:effectLst/>
            </c:spPr>
            <c:extLst>
              <c:ext xmlns:c16="http://schemas.microsoft.com/office/drawing/2014/chart" uri="{C3380CC4-5D6E-409C-BE32-E72D297353CC}">
                <c16:uniqueId val="{00000009-62B3-48C2-B044-E93AF9D001B3}"/>
              </c:ext>
            </c:extLst>
          </c:dPt>
          <c:dPt>
            <c:idx val="8"/>
            <c:invertIfNegative val="0"/>
            <c:bubble3D val="0"/>
            <c:spPr>
              <a:solidFill>
                <a:schemeClr val="accent1"/>
              </a:solidFill>
              <a:ln>
                <a:noFill/>
              </a:ln>
              <a:effectLst/>
            </c:spPr>
            <c:extLst>
              <c:ext xmlns:c16="http://schemas.microsoft.com/office/drawing/2014/chart" uri="{C3380CC4-5D6E-409C-BE32-E72D297353CC}">
                <c16:uniqueId val="{0000000D-6437-41E1-AE1A-F4C34F17F99B}"/>
              </c:ext>
            </c:extLst>
          </c:dPt>
          <c:dPt>
            <c:idx val="9"/>
            <c:invertIfNegative val="0"/>
            <c:bubble3D val="0"/>
            <c:spPr>
              <a:solidFill>
                <a:schemeClr val="accent1"/>
              </a:solidFill>
              <a:ln>
                <a:noFill/>
              </a:ln>
              <a:effectLst/>
            </c:spPr>
            <c:extLst>
              <c:ext xmlns:c16="http://schemas.microsoft.com/office/drawing/2014/chart" uri="{C3380CC4-5D6E-409C-BE32-E72D297353CC}">
                <c16:uniqueId val="{0000000D-62B3-48C2-B044-E93AF9D001B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(Ergebnisse!$K$57:$K$59,Ergebnisse!$K$62:$K$63,Ergebnisse!$K$66:$K$72)</c15:sqref>
                  </c15:fullRef>
                </c:ext>
              </c:extLst>
              <c:f>(Ergebnisse!$K$57:$K$59,Ergebnisse!$K$62:$K$63,Ergebnisse!$K$66:$K$68,Ergebnisse!$K$70:$K$71)</c:f>
              <c:strCache>
                <c:ptCount val="10"/>
                <c:pt idx="0">
                  <c:v>Scope 1.1: Emissionen aus stationärer Verbrennung</c:v>
                </c:pt>
                <c:pt idx="1">
                  <c:v>Scope 1.2: Emissionen aus mobiler Verbrennung</c:v>
                </c:pt>
                <c:pt idx="2">
                  <c:v>Scope 1.4: Emissionen aus Verflüchtigungen</c:v>
                </c:pt>
                <c:pt idx="3">
                  <c:v>Scope 2.1: Emissionen aus zugekauftem und 
verbrauchtem Strom</c:v>
                </c:pt>
                <c:pt idx="4">
                  <c:v>Scope 2.2: Emissionen aus weiterer zugekaufter Energie 
(Wärme, Kälte, Dampf, Wasser)</c:v>
                </c:pt>
                <c:pt idx="5">
                  <c:v>Scope 3.1: Eingekaufte Waren und Dienstleistungen</c:v>
                </c:pt>
                <c:pt idx="6">
                  <c:v>Scope 3.3: Brennstoff und energiebezogene Emissionen 
(nicht in Scope 1 und 2 enthalten)</c:v>
                </c:pt>
                <c:pt idx="7">
                  <c:v>Scope 3.4: Transport und Verteilung (vorgelagert)</c:v>
                </c:pt>
                <c:pt idx="8">
                  <c:v>Scope 3.6: Geschäftsreisen</c:v>
                </c:pt>
                <c:pt idx="9">
                  <c:v>Scope 3.7: Pendeln der Mitarbeitenden</c:v>
                </c:pt>
              </c:strCache>
            </c:strRef>
          </c:cat>
          <c:val>
            <c:numRef>
              <c:extLst>
                <c:ext xmlns:c15="http://schemas.microsoft.com/office/drawing/2012/chart" uri="{02D57815-91ED-43cb-92C2-25804820EDAC}">
                  <c15:fullRef>
                    <c15:sqref>(Ergebnisse!$D$177:$D$179,Ergebnisse!$D$182:$D$183,Ergebnisse!$D$186:$D$192)</c15:sqref>
                  </c15:fullRef>
                </c:ext>
              </c:extLst>
              <c:f>(Ergebnisse!$D$177:$D$179,Ergebnisse!$D$182:$D$183,Ergebnisse!$D$186:$D$188,Ergebnisse!$D$190:$D$191)</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0-62B3-48C2-B044-E93AF9D001B3}"/>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axMin"/>
        </c:scaling>
        <c:delete val="0"/>
        <c:axPos val="l"/>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0"/>
      </c:catAx>
      <c:valAx>
        <c:axId val="1050387951"/>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a:t>Treibhausgasemissionen [t CO2e]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H$12" lockText="1" noThreeD="1"/>
</file>

<file path=xl/ctrlProps/ctrlProp10.xml><?xml version="1.0" encoding="utf-8"?>
<formControlPr xmlns="http://schemas.microsoft.com/office/spreadsheetml/2009/9/main" objectType="CheckBox" fmlaLink="$H$15" lockText="1" noThreeD="1"/>
</file>

<file path=xl/ctrlProps/ctrlProp11.xml><?xml version="1.0" encoding="utf-8"?>
<formControlPr xmlns="http://schemas.microsoft.com/office/spreadsheetml/2009/9/main" objectType="CheckBox" fmlaLink="$H$12" lockText="1" noThreeD="1"/>
</file>

<file path=xl/ctrlProps/ctrlProp12.xml><?xml version="1.0" encoding="utf-8"?>
<formControlPr xmlns="http://schemas.microsoft.com/office/spreadsheetml/2009/9/main" objectType="CheckBox" fmlaLink="$H$13"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H$13" lockText="1" noThreeD="1"/>
</file>

<file path=xl/ctrlProps/ctrlProp3.xml><?xml version="1.0" encoding="utf-8"?>
<formControlPr xmlns="http://schemas.microsoft.com/office/spreadsheetml/2009/9/main" objectType="CheckBox" fmlaLink="$H$14" lockText="1" noThreeD="1"/>
</file>

<file path=xl/ctrlProps/ctrlProp4.xml><?xml version="1.0" encoding="utf-8"?>
<formControlPr xmlns="http://schemas.microsoft.com/office/spreadsheetml/2009/9/main" objectType="CheckBox" fmlaLink="$H$15" lockText="1" noThreeD="1"/>
</file>

<file path=xl/ctrlProps/ctrlProp5.xml><?xml version="1.0" encoding="utf-8"?>
<formControlPr xmlns="http://schemas.microsoft.com/office/spreadsheetml/2009/9/main" objectType="CheckBox" fmlaLink="$H$16" lockText="1" noThreeD="1"/>
</file>

<file path=xl/ctrlProps/ctrlProp6.xml><?xml version="1.0" encoding="utf-8"?>
<formControlPr xmlns="http://schemas.microsoft.com/office/spreadsheetml/2009/9/main" objectType="CheckBox" fmlaLink="$H$17" lockText="1" noThreeD="1"/>
</file>

<file path=xl/ctrlProps/ctrlProp7.xml><?xml version="1.0" encoding="utf-8"?>
<formControlPr xmlns="http://schemas.microsoft.com/office/spreadsheetml/2009/9/main" objectType="CheckBox" fmlaLink="$H$18" lockText="1" noThreeD="1"/>
</file>

<file path=xl/ctrlProps/ctrlProp8.xml><?xml version="1.0" encoding="utf-8"?>
<formControlPr xmlns="http://schemas.microsoft.com/office/spreadsheetml/2009/9/main" objectType="CheckBox" fmlaLink="$H$19" lockText="1" noThreeD="1"/>
</file>

<file path=xl/ctrlProps/ctrlProp9.xml><?xml version="1.0" encoding="utf-8"?>
<formControlPr xmlns="http://schemas.microsoft.com/office/spreadsheetml/2009/9/main" objectType="CheckBox" fmlaLink="$H$1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8" Type="http://schemas.openxmlformats.org/officeDocument/2006/relationships/chart" Target="../charts/chart8.xml"/><Relationship Id="rId3" Type="http://schemas.openxmlformats.org/officeDocument/2006/relationships/chart" Target="../charts/chart3.xml"/></Relationships>
</file>

<file path=xl/drawings/_rels/drawing6.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image" Target="../media/image14.png"/><Relationship Id="rId18" Type="http://schemas.openxmlformats.org/officeDocument/2006/relationships/image" Target="../media/image19.svg"/><Relationship Id="rId26" Type="http://schemas.openxmlformats.org/officeDocument/2006/relationships/image" Target="../media/image27.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svg"/><Relationship Id="rId17" Type="http://schemas.openxmlformats.org/officeDocument/2006/relationships/image" Target="../media/image18.png"/><Relationship Id="rId25" Type="http://schemas.openxmlformats.org/officeDocument/2006/relationships/image" Target="../media/image26.jpg"/><Relationship Id="rId2" Type="http://schemas.openxmlformats.org/officeDocument/2006/relationships/image" Target="../media/image3.svg"/><Relationship Id="rId16" Type="http://schemas.openxmlformats.org/officeDocument/2006/relationships/image" Target="../media/image17.svg"/><Relationship Id="rId20" Type="http://schemas.openxmlformats.org/officeDocument/2006/relationships/image" Target="../media/image21.svg"/><Relationship Id="rId29" Type="http://schemas.openxmlformats.org/officeDocument/2006/relationships/image" Target="../media/image30.jpg"/><Relationship Id="rId1" Type="http://schemas.openxmlformats.org/officeDocument/2006/relationships/image" Target="../media/image2.png"/><Relationship Id="rId6" Type="http://schemas.openxmlformats.org/officeDocument/2006/relationships/image" Target="../media/image7.svg"/><Relationship Id="rId11" Type="http://schemas.openxmlformats.org/officeDocument/2006/relationships/image" Target="../media/image12.png"/><Relationship Id="rId24" Type="http://schemas.openxmlformats.org/officeDocument/2006/relationships/image" Target="../media/image25.sv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10" Type="http://schemas.openxmlformats.org/officeDocument/2006/relationships/image" Target="../media/image11.svg"/><Relationship Id="rId19" Type="http://schemas.openxmlformats.org/officeDocument/2006/relationships/image" Target="../media/image20.png"/><Relationship Id="rId4" Type="http://schemas.openxmlformats.org/officeDocument/2006/relationships/image" Target="../media/image5.svg"/><Relationship Id="rId9" Type="http://schemas.openxmlformats.org/officeDocument/2006/relationships/image" Target="../media/image10.png"/><Relationship Id="rId14" Type="http://schemas.openxmlformats.org/officeDocument/2006/relationships/image" Target="../media/image15.svg"/><Relationship Id="rId22" Type="http://schemas.openxmlformats.org/officeDocument/2006/relationships/image" Target="../media/image23.svg"/><Relationship Id="rId27"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8</xdr:col>
      <xdr:colOff>90384</xdr:colOff>
      <xdr:row>10</xdr:row>
      <xdr:rowOff>164387</xdr:rowOff>
    </xdr:from>
    <xdr:to>
      <xdr:col>18</xdr:col>
      <xdr:colOff>38099</xdr:colOff>
      <xdr:row>16</xdr:row>
      <xdr:rowOff>1059572</xdr:rowOff>
    </xdr:to>
    <xdr:pic>
      <xdr:nvPicPr>
        <xdr:cNvPr id="79" name="Grafik 78">
          <a:extLst>
            <a:ext uri="{FF2B5EF4-FFF2-40B4-BE49-F238E27FC236}">
              <a16:creationId xmlns:a16="http://schemas.microsoft.com/office/drawing/2014/main" id="{00000000-0008-0000-0000-00004F000000}"/>
            </a:ext>
          </a:extLst>
        </xdr:cNvPr>
        <xdr:cNvPicPr>
          <a:picLocks noChangeAspect="1"/>
        </xdr:cNvPicPr>
      </xdr:nvPicPr>
      <xdr:blipFill rotWithShape="1">
        <a:blip xmlns:r="http://schemas.openxmlformats.org/officeDocument/2006/relationships" r:embed="rId1"/>
        <a:srcRect t="5273" r="-474" b="61"/>
        <a:stretch/>
      </xdr:blipFill>
      <xdr:spPr>
        <a:xfrm>
          <a:off x="8986734" y="3174287"/>
          <a:ext cx="7262915" cy="3765385"/>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527050</xdr:colOff>
          <xdr:row>11</xdr:row>
          <xdr:rowOff>31750</xdr:rowOff>
        </xdr:from>
        <xdr:to>
          <xdr:col>6</xdr:col>
          <xdr:colOff>723900</xdr:colOff>
          <xdr:row>11</xdr:row>
          <xdr:rowOff>209550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300-000024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12</xdr:row>
          <xdr:rowOff>31750</xdr:rowOff>
        </xdr:from>
        <xdr:to>
          <xdr:col>6</xdr:col>
          <xdr:colOff>723900</xdr:colOff>
          <xdr:row>12</xdr:row>
          <xdr:rowOff>209550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300-000025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13</xdr:row>
          <xdr:rowOff>31750</xdr:rowOff>
        </xdr:from>
        <xdr:to>
          <xdr:col>6</xdr:col>
          <xdr:colOff>723900</xdr:colOff>
          <xdr:row>13</xdr:row>
          <xdr:rowOff>209550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300-000026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14</xdr:row>
          <xdr:rowOff>31750</xdr:rowOff>
        </xdr:from>
        <xdr:to>
          <xdr:col>6</xdr:col>
          <xdr:colOff>723900</xdr:colOff>
          <xdr:row>14</xdr:row>
          <xdr:rowOff>209550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300-000027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15</xdr:row>
          <xdr:rowOff>31750</xdr:rowOff>
        </xdr:from>
        <xdr:to>
          <xdr:col>6</xdr:col>
          <xdr:colOff>723900</xdr:colOff>
          <xdr:row>15</xdr:row>
          <xdr:rowOff>209550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300-000028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16</xdr:row>
          <xdr:rowOff>31750</xdr:rowOff>
        </xdr:from>
        <xdr:to>
          <xdr:col>6</xdr:col>
          <xdr:colOff>723900</xdr:colOff>
          <xdr:row>16</xdr:row>
          <xdr:rowOff>209550</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0300-000029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17</xdr:row>
          <xdr:rowOff>31750</xdr:rowOff>
        </xdr:from>
        <xdr:to>
          <xdr:col>6</xdr:col>
          <xdr:colOff>723900</xdr:colOff>
          <xdr:row>17</xdr:row>
          <xdr:rowOff>209550</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0300-00002A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18</xdr:row>
          <xdr:rowOff>31750</xdr:rowOff>
        </xdr:from>
        <xdr:to>
          <xdr:col>6</xdr:col>
          <xdr:colOff>723900</xdr:colOff>
          <xdr:row>18</xdr:row>
          <xdr:rowOff>209550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300-00002B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495300</xdr:colOff>
          <xdr:row>13</xdr:row>
          <xdr:rowOff>31750</xdr:rowOff>
        </xdr:from>
        <xdr:to>
          <xdr:col>6</xdr:col>
          <xdr:colOff>692150</xdr:colOff>
          <xdr:row>13</xdr:row>
          <xdr:rowOff>196850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400-00000B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14</xdr:row>
          <xdr:rowOff>31750</xdr:rowOff>
        </xdr:from>
        <xdr:to>
          <xdr:col>6</xdr:col>
          <xdr:colOff>692150</xdr:colOff>
          <xdr:row>14</xdr:row>
          <xdr:rowOff>196850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400-00000C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11</xdr:row>
          <xdr:rowOff>31750</xdr:rowOff>
        </xdr:from>
        <xdr:to>
          <xdr:col>6</xdr:col>
          <xdr:colOff>692150</xdr:colOff>
          <xdr:row>11</xdr:row>
          <xdr:rowOff>215900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400-00000F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12</xdr:row>
          <xdr:rowOff>31750</xdr:rowOff>
        </xdr:from>
        <xdr:to>
          <xdr:col>6</xdr:col>
          <xdr:colOff>692150</xdr:colOff>
          <xdr:row>12</xdr:row>
          <xdr:rowOff>215900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400-000010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889000</xdr:colOff>
          <xdr:row>11</xdr:row>
          <xdr:rowOff>0</xdr:rowOff>
        </xdr:from>
        <xdr:to>
          <xdr:col>5</xdr:col>
          <xdr:colOff>1098550</xdr:colOff>
          <xdr:row>11</xdr:row>
          <xdr:rowOff>184150</xdr:rowOff>
        </xdr:to>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500-00000A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889000</xdr:colOff>
          <xdr:row>12</xdr:row>
          <xdr:rowOff>0</xdr:rowOff>
        </xdr:from>
        <xdr:to>
          <xdr:col>5</xdr:col>
          <xdr:colOff>1098550</xdr:colOff>
          <xdr:row>12</xdr:row>
          <xdr:rowOff>184150</xdr:rowOff>
        </xdr:to>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500-00000B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889000</xdr:colOff>
          <xdr:row>14</xdr:row>
          <xdr:rowOff>0</xdr:rowOff>
        </xdr:from>
        <xdr:to>
          <xdr:col>5</xdr:col>
          <xdr:colOff>1098550</xdr:colOff>
          <xdr:row>14</xdr:row>
          <xdr:rowOff>184150</xdr:rowOff>
        </xdr:to>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500-00000C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889000</xdr:colOff>
          <xdr:row>13</xdr:row>
          <xdr:rowOff>0</xdr:rowOff>
        </xdr:from>
        <xdr:to>
          <xdr:col>5</xdr:col>
          <xdr:colOff>1098550</xdr:colOff>
          <xdr:row>13</xdr:row>
          <xdr:rowOff>184150</xdr:rowOff>
        </xdr:to>
        <xdr:sp macro="" textlink="">
          <xdr:nvSpPr>
            <xdr:cNvPr id="43022" name="Check Box 14" hidden="1">
              <a:extLst>
                <a:ext uri="{63B3BB69-23CF-44E3-9099-C40C66FF867C}">
                  <a14:compatExt spid="_x0000_s43022"/>
                </a:ext>
                <a:ext uri="{FF2B5EF4-FFF2-40B4-BE49-F238E27FC236}">
                  <a16:creationId xmlns:a16="http://schemas.microsoft.com/office/drawing/2014/main" id="{00000000-0008-0000-0500-00000E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8</xdr:col>
      <xdr:colOff>285122</xdr:colOff>
      <xdr:row>102</xdr:row>
      <xdr:rowOff>6350</xdr:rowOff>
    </xdr:from>
    <xdr:to>
      <xdr:col>16</xdr:col>
      <xdr:colOff>276642</xdr:colOff>
      <xdr:row>114</xdr:row>
      <xdr:rowOff>8031</xdr:rowOff>
    </xdr:to>
    <xdr:graphicFrame macro="">
      <xdr:nvGraphicFramePr>
        <xdr:cNvPr id="16" name="Diagramm 15">
          <a:extLst>
            <a:ext uri="{FF2B5EF4-FFF2-40B4-BE49-F238E27FC236}">
              <a16:creationId xmlns:a16="http://schemas.microsoft.com/office/drawing/2014/main" id="{31540E16-4EEA-41AB-B6B1-E547C8683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277413</xdr:colOff>
      <xdr:row>54</xdr:row>
      <xdr:rowOff>0</xdr:rowOff>
    </xdr:from>
    <xdr:to>
      <xdr:col>16</xdr:col>
      <xdr:colOff>603813</xdr:colOff>
      <xdr:row>70</xdr:row>
      <xdr:rowOff>0</xdr:rowOff>
    </xdr:to>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726820</xdr:colOff>
      <xdr:row>53</xdr:row>
      <xdr:rowOff>152399</xdr:rowOff>
    </xdr:from>
    <xdr:to>
      <xdr:col>25</xdr:col>
      <xdr:colOff>284870</xdr:colOff>
      <xdr:row>70</xdr:row>
      <xdr:rowOff>0</xdr:rowOff>
    </xdr:to>
    <xdr:graphicFrame macro="">
      <xdr:nvGraphicFramePr>
        <xdr:cNvPr id="3" name="Diagramm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214812</xdr:colOff>
      <xdr:row>39</xdr:row>
      <xdr:rowOff>57432</xdr:rowOff>
    </xdr:from>
    <xdr:to>
      <xdr:col>16</xdr:col>
      <xdr:colOff>561980</xdr:colOff>
      <xdr:row>47</xdr:row>
      <xdr:rowOff>101600</xdr:rowOff>
    </xdr:to>
    <xdr:graphicFrame macro="">
      <xdr:nvGraphicFramePr>
        <xdr:cNvPr id="4" name="Diagramm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726559</xdr:colOff>
      <xdr:row>27</xdr:row>
      <xdr:rowOff>0</xdr:rowOff>
    </xdr:from>
    <xdr:to>
      <xdr:col>25</xdr:col>
      <xdr:colOff>277091</xdr:colOff>
      <xdr:row>47</xdr:row>
      <xdr:rowOff>101600</xdr:rowOff>
    </xdr:to>
    <xdr:graphicFrame macro="">
      <xdr:nvGraphicFramePr>
        <xdr:cNvPr id="5" name="Diagramm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213462</xdr:colOff>
      <xdr:row>27</xdr:row>
      <xdr:rowOff>7154</xdr:rowOff>
    </xdr:from>
    <xdr:to>
      <xdr:col>16</xdr:col>
      <xdr:colOff>560630</xdr:colOff>
      <xdr:row>38</xdr:row>
      <xdr:rowOff>236538</xdr:rowOff>
    </xdr:to>
    <xdr:graphicFrame macro="">
      <xdr:nvGraphicFramePr>
        <xdr:cNvPr id="6" name="Diagramm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284499</xdr:colOff>
      <xdr:row>70</xdr:row>
      <xdr:rowOff>57148</xdr:rowOff>
    </xdr:from>
    <xdr:to>
      <xdr:col>14</xdr:col>
      <xdr:colOff>48930</xdr:colOff>
      <xdr:row>82</xdr:row>
      <xdr:rowOff>181434</xdr:rowOff>
    </xdr:to>
    <xdr:graphicFrame macro="">
      <xdr:nvGraphicFramePr>
        <xdr:cNvPr id="7" name="Diagramm 6">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725219</xdr:colOff>
      <xdr:row>70</xdr:row>
      <xdr:rowOff>58511</xdr:rowOff>
    </xdr:from>
    <xdr:to>
      <xdr:col>22</xdr:col>
      <xdr:colOff>725219</xdr:colOff>
      <xdr:row>82</xdr:row>
      <xdr:rowOff>179622</xdr:rowOff>
    </xdr:to>
    <xdr:graphicFrame macro="">
      <xdr:nvGraphicFramePr>
        <xdr:cNvPr id="8" name="Diagramm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284670</xdr:colOff>
      <xdr:row>173</xdr:row>
      <xdr:rowOff>155147</xdr:rowOff>
    </xdr:from>
    <xdr:to>
      <xdr:col>16</xdr:col>
      <xdr:colOff>611070</xdr:colOff>
      <xdr:row>189</xdr:row>
      <xdr:rowOff>220943</xdr:rowOff>
    </xdr:to>
    <xdr:graphicFrame macro="">
      <xdr:nvGraphicFramePr>
        <xdr:cNvPr id="9" name="Diagramm 8">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724552</xdr:colOff>
      <xdr:row>174</xdr:row>
      <xdr:rowOff>1624</xdr:rowOff>
    </xdr:from>
    <xdr:to>
      <xdr:col>25</xdr:col>
      <xdr:colOff>288952</xdr:colOff>
      <xdr:row>189</xdr:row>
      <xdr:rowOff>220943</xdr:rowOff>
    </xdr:to>
    <xdr:graphicFrame macro="">
      <xdr:nvGraphicFramePr>
        <xdr:cNvPr id="10" name="Diagramm 9">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288268</xdr:colOff>
      <xdr:row>159</xdr:row>
      <xdr:rowOff>64707</xdr:rowOff>
    </xdr:from>
    <xdr:to>
      <xdr:col>16</xdr:col>
      <xdr:colOff>600800</xdr:colOff>
      <xdr:row>167</xdr:row>
      <xdr:rowOff>96790</xdr:rowOff>
    </xdr:to>
    <xdr:graphicFrame macro="">
      <xdr:nvGraphicFramePr>
        <xdr:cNvPr id="11" name="Diagramm 10">
          <a:extLst>
            <a:ext uri="{FF2B5EF4-FFF2-40B4-BE49-F238E27FC236}">
              <a16:creationId xmlns:a16="http://schemas.microsoft.com/office/drawing/2014/main" id="{00000000-0008-0000-06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16</xdr:col>
      <xdr:colOff>736991</xdr:colOff>
      <xdr:row>147</xdr:row>
      <xdr:rowOff>9658</xdr:rowOff>
    </xdr:from>
    <xdr:to>
      <xdr:col>25</xdr:col>
      <xdr:colOff>287523</xdr:colOff>
      <xdr:row>167</xdr:row>
      <xdr:rowOff>86472</xdr:rowOff>
    </xdr:to>
    <xdr:graphicFrame macro="">
      <xdr:nvGraphicFramePr>
        <xdr:cNvPr id="12" name="Diagramm 11">
          <a:extLst>
            <a:ext uri="{FF2B5EF4-FFF2-40B4-BE49-F238E27FC236}">
              <a16:creationId xmlns:a16="http://schemas.microsoft.com/office/drawing/2014/main" id="{00000000-0008-0000-0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287899</xdr:colOff>
      <xdr:row>147</xdr:row>
      <xdr:rowOff>26102</xdr:rowOff>
    </xdr:from>
    <xdr:to>
      <xdr:col>16</xdr:col>
      <xdr:colOff>600431</xdr:colOff>
      <xdr:row>159</xdr:row>
      <xdr:rowOff>10600</xdr:rowOff>
    </xdr:to>
    <xdr:graphicFrame macro="">
      <xdr:nvGraphicFramePr>
        <xdr:cNvPr id="13" name="Diagramm 12">
          <a:extLst>
            <a:ext uri="{FF2B5EF4-FFF2-40B4-BE49-F238E27FC236}">
              <a16:creationId xmlns:a16="http://schemas.microsoft.com/office/drawing/2014/main" id="{00000000-0008-0000-0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307480</xdr:colOff>
      <xdr:row>190</xdr:row>
      <xdr:rowOff>67261</xdr:rowOff>
    </xdr:from>
    <xdr:to>
      <xdr:col>14</xdr:col>
      <xdr:colOff>68736</xdr:colOff>
      <xdr:row>202</xdr:row>
      <xdr:rowOff>141201</xdr:rowOff>
    </xdr:to>
    <xdr:graphicFrame macro="">
      <xdr:nvGraphicFramePr>
        <xdr:cNvPr id="14" name="Diagramm 13">
          <a:extLst>
            <a:ext uri="{FF2B5EF4-FFF2-40B4-BE49-F238E27FC236}">
              <a16:creationId xmlns:a16="http://schemas.microsoft.com/office/drawing/2014/main" id="{00000000-0008-0000-0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725939</xdr:colOff>
      <xdr:row>190</xdr:row>
      <xdr:rowOff>64780</xdr:rowOff>
    </xdr:from>
    <xdr:to>
      <xdr:col>22</xdr:col>
      <xdr:colOff>725939</xdr:colOff>
      <xdr:row>202</xdr:row>
      <xdr:rowOff>145070</xdr:rowOff>
    </xdr:to>
    <xdr:graphicFrame macro="">
      <xdr:nvGraphicFramePr>
        <xdr:cNvPr id="15" name="Diagramm 14">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8</xdr:col>
      <xdr:colOff>285982</xdr:colOff>
      <xdr:row>115</xdr:row>
      <xdr:rowOff>8032</xdr:rowOff>
    </xdr:from>
    <xdr:to>
      <xdr:col>16</xdr:col>
      <xdr:colOff>276644</xdr:colOff>
      <xdr:row>119</xdr:row>
      <xdr:rowOff>0</xdr:rowOff>
    </xdr:to>
    <xdr:graphicFrame macro="">
      <xdr:nvGraphicFramePr>
        <xdr:cNvPr id="17" name="Diagramm 16">
          <a:extLst>
            <a:ext uri="{FF2B5EF4-FFF2-40B4-BE49-F238E27FC236}">
              <a16:creationId xmlns:a16="http://schemas.microsoft.com/office/drawing/2014/main" id="{239B297C-B276-4A95-ACC1-6DB444104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288297</xdr:colOff>
      <xdr:row>120</xdr:row>
      <xdr:rowOff>8031</xdr:rowOff>
    </xdr:from>
    <xdr:to>
      <xdr:col>16</xdr:col>
      <xdr:colOff>297597</xdr:colOff>
      <xdr:row>126</xdr:row>
      <xdr:rowOff>0</xdr:rowOff>
    </xdr:to>
    <xdr:graphicFrame macro="">
      <xdr:nvGraphicFramePr>
        <xdr:cNvPr id="18" name="Diagramm 17">
          <a:extLst>
            <a:ext uri="{FF2B5EF4-FFF2-40B4-BE49-F238E27FC236}">
              <a16:creationId xmlns:a16="http://schemas.microsoft.com/office/drawing/2014/main" id="{EB891779-D338-496C-BE12-9426DAD893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283441</xdr:colOff>
      <xdr:row>219</xdr:row>
      <xdr:rowOff>0</xdr:rowOff>
    </xdr:from>
    <xdr:to>
      <xdr:col>16</xdr:col>
      <xdr:colOff>265436</xdr:colOff>
      <xdr:row>231</xdr:row>
      <xdr:rowOff>1680</xdr:rowOff>
    </xdr:to>
    <xdr:graphicFrame macro="">
      <xdr:nvGraphicFramePr>
        <xdr:cNvPr id="25" name="Diagramm 24">
          <a:extLst>
            <a:ext uri="{FF2B5EF4-FFF2-40B4-BE49-F238E27FC236}">
              <a16:creationId xmlns:a16="http://schemas.microsoft.com/office/drawing/2014/main" id="{0EE40788-A157-4DA5-96A6-B2537002B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xdr:col>
      <xdr:colOff>284301</xdr:colOff>
      <xdr:row>232</xdr:row>
      <xdr:rowOff>1681</xdr:rowOff>
    </xdr:from>
    <xdr:to>
      <xdr:col>16</xdr:col>
      <xdr:colOff>265438</xdr:colOff>
      <xdr:row>235</xdr:row>
      <xdr:rowOff>169769</xdr:rowOff>
    </xdr:to>
    <xdr:graphicFrame macro="">
      <xdr:nvGraphicFramePr>
        <xdr:cNvPr id="26" name="Diagramm 25">
          <a:extLst>
            <a:ext uri="{FF2B5EF4-FFF2-40B4-BE49-F238E27FC236}">
              <a16:creationId xmlns:a16="http://schemas.microsoft.com/office/drawing/2014/main" id="{6C9A036C-99C4-413F-91E7-4B23016E23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8</xdr:col>
      <xdr:colOff>277091</xdr:colOff>
      <xdr:row>237</xdr:row>
      <xdr:rowOff>1681</xdr:rowOff>
    </xdr:from>
    <xdr:to>
      <xdr:col>16</xdr:col>
      <xdr:colOff>286391</xdr:colOff>
      <xdr:row>242</xdr:row>
      <xdr:rowOff>169768</xdr:rowOff>
    </xdr:to>
    <xdr:graphicFrame macro="">
      <xdr:nvGraphicFramePr>
        <xdr:cNvPr id="27" name="Diagramm 26">
          <a:extLst>
            <a:ext uri="{FF2B5EF4-FFF2-40B4-BE49-F238E27FC236}">
              <a16:creationId xmlns:a16="http://schemas.microsoft.com/office/drawing/2014/main" id="{D43104D3-28EE-442D-8D3C-B15EEC852B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35</xdr:col>
      <xdr:colOff>440985</xdr:colOff>
      <xdr:row>102</xdr:row>
      <xdr:rowOff>6350</xdr:rowOff>
    </xdr:from>
    <xdr:to>
      <xdr:col>43</xdr:col>
      <xdr:colOff>397869</xdr:colOff>
      <xdr:row>114</xdr:row>
      <xdr:rowOff>8031</xdr:rowOff>
    </xdr:to>
    <xdr:graphicFrame macro="">
      <xdr:nvGraphicFramePr>
        <xdr:cNvPr id="19" name="Diagramm 18">
          <a:extLst>
            <a:ext uri="{FF2B5EF4-FFF2-40B4-BE49-F238E27FC236}">
              <a16:creationId xmlns:a16="http://schemas.microsoft.com/office/drawing/2014/main" id="{504AB111-67DC-4A78-B6BC-A2DBB24747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35</xdr:col>
      <xdr:colOff>433276</xdr:colOff>
      <xdr:row>54</xdr:row>
      <xdr:rowOff>0</xdr:rowOff>
    </xdr:from>
    <xdr:to>
      <xdr:col>43</xdr:col>
      <xdr:colOff>759676</xdr:colOff>
      <xdr:row>70</xdr:row>
      <xdr:rowOff>0</xdr:rowOff>
    </xdr:to>
    <xdr:graphicFrame macro="">
      <xdr:nvGraphicFramePr>
        <xdr:cNvPr id="20" name="Diagramm 19">
          <a:extLst>
            <a:ext uri="{FF2B5EF4-FFF2-40B4-BE49-F238E27FC236}">
              <a16:creationId xmlns:a16="http://schemas.microsoft.com/office/drawing/2014/main" id="{119A42CB-C45F-408D-8922-23F81BED63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44</xdr:col>
      <xdr:colOff>86047</xdr:colOff>
      <xdr:row>53</xdr:row>
      <xdr:rowOff>152399</xdr:rowOff>
    </xdr:from>
    <xdr:to>
      <xdr:col>52</xdr:col>
      <xdr:colOff>440733</xdr:colOff>
      <xdr:row>70</xdr:row>
      <xdr:rowOff>0</xdr:rowOff>
    </xdr:to>
    <xdr:graphicFrame macro="">
      <xdr:nvGraphicFramePr>
        <xdr:cNvPr id="21" name="Diagramm 20">
          <a:extLst>
            <a:ext uri="{FF2B5EF4-FFF2-40B4-BE49-F238E27FC236}">
              <a16:creationId xmlns:a16="http://schemas.microsoft.com/office/drawing/2014/main" id="{F85A8A0A-8681-4410-98FC-0FCA5D0FE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35</xdr:col>
      <xdr:colOff>370675</xdr:colOff>
      <xdr:row>39</xdr:row>
      <xdr:rowOff>57432</xdr:rowOff>
    </xdr:from>
    <xdr:to>
      <xdr:col>43</xdr:col>
      <xdr:colOff>717843</xdr:colOff>
      <xdr:row>47</xdr:row>
      <xdr:rowOff>101600</xdr:rowOff>
    </xdr:to>
    <xdr:graphicFrame macro="">
      <xdr:nvGraphicFramePr>
        <xdr:cNvPr id="22" name="Diagramm 21">
          <a:extLst>
            <a:ext uri="{FF2B5EF4-FFF2-40B4-BE49-F238E27FC236}">
              <a16:creationId xmlns:a16="http://schemas.microsoft.com/office/drawing/2014/main" id="{9C58B720-C625-4216-B47F-660F5AC69C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44</xdr:col>
      <xdr:colOff>85786</xdr:colOff>
      <xdr:row>27</xdr:row>
      <xdr:rowOff>0</xdr:rowOff>
    </xdr:from>
    <xdr:to>
      <xdr:col>52</xdr:col>
      <xdr:colOff>432954</xdr:colOff>
      <xdr:row>47</xdr:row>
      <xdr:rowOff>101600</xdr:rowOff>
    </xdr:to>
    <xdr:graphicFrame macro="">
      <xdr:nvGraphicFramePr>
        <xdr:cNvPr id="23" name="Diagramm 22">
          <a:extLst>
            <a:ext uri="{FF2B5EF4-FFF2-40B4-BE49-F238E27FC236}">
              <a16:creationId xmlns:a16="http://schemas.microsoft.com/office/drawing/2014/main" id="{6BA52572-A16E-4508-A84E-C395027F0E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35</xdr:col>
      <xdr:colOff>369325</xdr:colOff>
      <xdr:row>27</xdr:row>
      <xdr:rowOff>7154</xdr:rowOff>
    </xdr:from>
    <xdr:to>
      <xdr:col>43</xdr:col>
      <xdr:colOff>716493</xdr:colOff>
      <xdr:row>38</xdr:row>
      <xdr:rowOff>236538</xdr:rowOff>
    </xdr:to>
    <xdr:graphicFrame macro="">
      <xdr:nvGraphicFramePr>
        <xdr:cNvPr id="24" name="Diagramm 23">
          <a:extLst>
            <a:ext uri="{FF2B5EF4-FFF2-40B4-BE49-F238E27FC236}">
              <a16:creationId xmlns:a16="http://schemas.microsoft.com/office/drawing/2014/main" id="{071B934C-CF7E-45B3-9F24-D6E5CECAF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35</xdr:col>
      <xdr:colOff>440362</xdr:colOff>
      <xdr:row>70</xdr:row>
      <xdr:rowOff>57148</xdr:rowOff>
    </xdr:from>
    <xdr:to>
      <xdr:col>41</xdr:col>
      <xdr:colOff>204793</xdr:colOff>
      <xdr:row>82</xdr:row>
      <xdr:rowOff>181434</xdr:rowOff>
    </xdr:to>
    <xdr:graphicFrame macro="">
      <xdr:nvGraphicFramePr>
        <xdr:cNvPr id="28" name="Diagramm 27">
          <a:extLst>
            <a:ext uri="{FF2B5EF4-FFF2-40B4-BE49-F238E27FC236}">
              <a16:creationId xmlns:a16="http://schemas.microsoft.com/office/drawing/2014/main" id="{4DC823A2-9A9C-47CC-8505-11B725F52B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44</xdr:col>
      <xdr:colOff>84446</xdr:colOff>
      <xdr:row>70</xdr:row>
      <xdr:rowOff>58511</xdr:rowOff>
    </xdr:from>
    <xdr:to>
      <xdr:col>50</xdr:col>
      <xdr:colOff>84445</xdr:colOff>
      <xdr:row>82</xdr:row>
      <xdr:rowOff>179622</xdr:rowOff>
    </xdr:to>
    <xdr:graphicFrame macro="">
      <xdr:nvGraphicFramePr>
        <xdr:cNvPr id="29" name="Diagramm 28">
          <a:extLst>
            <a:ext uri="{FF2B5EF4-FFF2-40B4-BE49-F238E27FC236}">
              <a16:creationId xmlns:a16="http://schemas.microsoft.com/office/drawing/2014/main" id="{63F2C845-D380-48EB-9883-7655C52C87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35</xdr:col>
      <xdr:colOff>440533</xdr:colOff>
      <xdr:row>173</xdr:row>
      <xdr:rowOff>155147</xdr:rowOff>
    </xdr:from>
    <xdr:to>
      <xdr:col>43</xdr:col>
      <xdr:colOff>766933</xdr:colOff>
      <xdr:row>189</xdr:row>
      <xdr:rowOff>220943</xdr:rowOff>
    </xdr:to>
    <xdr:graphicFrame macro="">
      <xdr:nvGraphicFramePr>
        <xdr:cNvPr id="30" name="Diagramm 29">
          <a:extLst>
            <a:ext uri="{FF2B5EF4-FFF2-40B4-BE49-F238E27FC236}">
              <a16:creationId xmlns:a16="http://schemas.microsoft.com/office/drawing/2014/main" id="{30D7238D-3551-4732-8A17-658E22B461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44</xdr:col>
      <xdr:colOff>83779</xdr:colOff>
      <xdr:row>174</xdr:row>
      <xdr:rowOff>1624</xdr:rowOff>
    </xdr:from>
    <xdr:to>
      <xdr:col>52</xdr:col>
      <xdr:colOff>444815</xdr:colOff>
      <xdr:row>189</xdr:row>
      <xdr:rowOff>220943</xdr:rowOff>
    </xdr:to>
    <xdr:graphicFrame macro="">
      <xdr:nvGraphicFramePr>
        <xdr:cNvPr id="31" name="Diagramm 30">
          <a:extLst>
            <a:ext uri="{FF2B5EF4-FFF2-40B4-BE49-F238E27FC236}">
              <a16:creationId xmlns:a16="http://schemas.microsoft.com/office/drawing/2014/main" id="{F2BB3323-2D5F-4088-AB8B-CF4B67AC9F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35</xdr:col>
      <xdr:colOff>444131</xdr:colOff>
      <xdr:row>159</xdr:row>
      <xdr:rowOff>64707</xdr:rowOff>
    </xdr:from>
    <xdr:to>
      <xdr:col>43</xdr:col>
      <xdr:colOff>756663</xdr:colOff>
      <xdr:row>167</xdr:row>
      <xdr:rowOff>96790</xdr:rowOff>
    </xdr:to>
    <xdr:graphicFrame macro="">
      <xdr:nvGraphicFramePr>
        <xdr:cNvPr id="32" name="Diagramm 31">
          <a:extLst>
            <a:ext uri="{FF2B5EF4-FFF2-40B4-BE49-F238E27FC236}">
              <a16:creationId xmlns:a16="http://schemas.microsoft.com/office/drawing/2014/main" id="{20F3F3A9-1A55-4CA6-8360-4B003B7F78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44</xdr:col>
      <xdr:colOff>96218</xdr:colOff>
      <xdr:row>147</xdr:row>
      <xdr:rowOff>9658</xdr:rowOff>
    </xdr:from>
    <xdr:to>
      <xdr:col>52</xdr:col>
      <xdr:colOff>443386</xdr:colOff>
      <xdr:row>167</xdr:row>
      <xdr:rowOff>86472</xdr:rowOff>
    </xdr:to>
    <xdr:graphicFrame macro="">
      <xdr:nvGraphicFramePr>
        <xdr:cNvPr id="33" name="Diagramm 32">
          <a:extLst>
            <a:ext uri="{FF2B5EF4-FFF2-40B4-BE49-F238E27FC236}">
              <a16:creationId xmlns:a16="http://schemas.microsoft.com/office/drawing/2014/main" id="{8CFF5770-28A9-41C4-BC9D-F2078AF7E4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35</xdr:col>
      <xdr:colOff>443762</xdr:colOff>
      <xdr:row>147</xdr:row>
      <xdr:rowOff>26102</xdr:rowOff>
    </xdr:from>
    <xdr:to>
      <xdr:col>43</xdr:col>
      <xdr:colOff>756294</xdr:colOff>
      <xdr:row>159</xdr:row>
      <xdr:rowOff>10600</xdr:rowOff>
    </xdr:to>
    <xdr:graphicFrame macro="">
      <xdr:nvGraphicFramePr>
        <xdr:cNvPr id="34" name="Diagramm 33">
          <a:extLst>
            <a:ext uri="{FF2B5EF4-FFF2-40B4-BE49-F238E27FC236}">
              <a16:creationId xmlns:a16="http://schemas.microsoft.com/office/drawing/2014/main" id="{6BA23237-40E3-450B-8BC8-47FEEABC0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35</xdr:col>
      <xdr:colOff>463343</xdr:colOff>
      <xdr:row>190</xdr:row>
      <xdr:rowOff>67261</xdr:rowOff>
    </xdr:from>
    <xdr:to>
      <xdr:col>41</xdr:col>
      <xdr:colOff>224599</xdr:colOff>
      <xdr:row>202</xdr:row>
      <xdr:rowOff>141201</xdr:rowOff>
    </xdr:to>
    <xdr:graphicFrame macro="">
      <xdr:nvGraphicFramePr>
        <xdr:cNvPr id="35" name="Diagramm 34">
          <a:extLst>
            <a:ext uri="{FF2B5EF4-FFF2-40B4-BE49-F238E27FC236}">
              <a16:creationId xmlns:a16="http://schemas.microsoft.com/office/drawing/2014/main" id="{66E6F3F8-527C-4CB5-A5F9-911820071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44</xdr:col>
      <xdr:colOff>85166</xdr:colOff>
      <xdr:row>190</xdr:row>
      <xdr:rowOff>64780</xdr:rowOff>
    </xdr:from>
    <xdr:to>
      <xdr:col>50</xdr:col>
      <xdr:colOff>85165</xdr:colOff>
      <xdr:row>202</xdr:row>
      <xdr:rowOff>145070</xdr:rowOff>
    </xdr:to>
    <xdr:graphicFrame macro="">
      <xdr:nvGraphicFramePr>
        <xdr:cNvPr id="36" name="Diagramm 35">
          <a:extLst>
            <a:ext uri="{FF2B5EF4-FFF2-40B4-BE49-F238E27FC236}">
              <a16:creationId xmlns:a16="http://schemas.microsoft.com/office/drawing/2014/main" id="{E40FCE89-6D52-4EBB-B043-6FAF9159D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35</xdr:col>
      <xdr:colOff>441845</xdr:colOff>
      <xdr:row>115</xdr:row>
      <xdr:rowOff>8032</xdr:rowOff>
    </xdr:from>
    <xdr:to>
      <xdr:col>43</xdr:col>
      <xdr:colOff>397871</xdr:colOff>
      <xdr:row>119</xdr:row>
      <xdr:rowOff>0</xdr:rowOff>
    </xdr:to>
    <xdr:graphicFrame macro="">
      <xdr:nvGraphicFramePr>
        <xdr:cNvPr id="37" name="Diagramm 36">
          <a:extLst>
            <a:ext uri="{FF2B5EF4-FFF2-40B4-BE49-F238E27FC236}">
              <a16:creationId xmlns:a16="http://schemas.microsoft.com/office/drawing/2014/main" id="{8B0E02CF-7F4A-415A-AEAD-112D01E5CB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35</xdr:col>
      <xdr:colOff>444160</xdr:colOff>
      <xdr:row>120</xdr:row>
      <xdr:rowOff>8031</xdr:rowOff>
    </xdr:from>
    <xdr:to>
      <xdr:col>43</xdr:col>
      <xdr:colOff>453460</xdr:colOff>
      <xdr:row>126</xdr:row>
      <xdr:rowOff>0</xdr:rowOff>
    </xdr:to>
    <xdr:graphicFrame macro="">
      <xdr:nvGraphicFramePr>
        <xdr:cNvPr id="38" name="Diagramm 37">
          <a:extLst>
            <a:ext uri="{FF2B5EF4-FFF2-40B4-BE49-F238E27FC236}">
              <a16:creationId xmlns:a16="http://schemas.microsoft.com/office/drawing/2014/main" id="{2B212353-4A6D-4AB0-9385-DD79A6FDB6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35</xdr:col>
      <xdr:colOff>439304</xdr:colOff>
      <xdr:row>219</xdr:row>
      <xdr:rowOff>0</xdr:rowOff>
    </xdr:from>
    <xdr:to>
      <xdr:col>43</xdr:col>
      <xdr:colOff>386663</xdr:colOff>
      <xdr:row>231</xdr:row>
      <xdr:rowOff>1680</xdr:rowOff>
    </xdr:to>
    <xdr:graphicFrame macro="">
      <xdr:nvGraphicFramePr>
        <xdr:cNvPr id="39" name="Diagramm 38">
          <a:extLst>
            <a:ext uri="{FF2B5EF4-FFF2-40B4-BE49-F238E27FC236}">
              <a16:creationId xmlns:a16="http://schemas.microsoft.com/office/drawing/2014/main" id="{D7C3C3FB-C2CA-49FC-90E3-59899ACDF6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35</xdr:col>
      <xdr:colOff>440164</xdr:colOff>
      <xdr:row>232</xdr:row>
      <xdr:rowOff>1681</xdr:rowOff>
    </xdr:from>
    <xdr:to>
      <xdr:col>43</xdr:col>
      <xdr:colOff>386665</xdr:colOff>
      <xdr:row>235</xdr:row>
      <xdr:rowOff>169769</xdr:rowOff>
    </xdr:to>
    <xdr:graphicFrame macro="">
      <xdr:nvGraphicFramePr>
        <xdr:cNvPr id="40" name="Diagramm 39">
          <a:extLst>
            <a:ext uri="{FF2B5EF4-FFF2-40B4-BE49-F238E27FC236}">
              <a16:creationId xmlns:a16="http://schemas.microsoft.com/office/drawing/2014/main" id="{C1919A18-EF0D-4347-A79A-71FEF19473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35</xdr:col>
      <xdr:colOff>432954</xdr:colOff>
      <xdr:row>237</xdr:row>
      <xdr:rowOff>1681</xdr:rowOff>
    </xdr:from>
    <xdr:to>
      <xdr:col>43</xdr:col>
      <xdr:colOff>442254</xdr:colOff>
      <xdr:row>242</xdr:row>
      <xdr:rowOff>169768</xdr:rowOff>
    </xdr:to>
    <xdr:graphicFrame macro="">
      <xdr:nvGraphicFramePr>
        <xdr:cNvPr id="41" name="Diagramm 40">
          <a:extLst>
            <a:ext uri="{FF2B5EF4-FFF2-40B4-BE49-F238E27FC236}">
              <a16:creationId xmlns:a16="http://schemas.microsoft.com/office/drawing/2014/main" id="{C9E064F7-9D5A-4692-90F0-3131C6A37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25113</xdr:colOff>
      <xdr:row>30</xdr:row>
      <xdr:rowOff>129598</xdr:rowOff>
    </xdr:from>
    <xdr:to>
      <xdr:col>15</xdr:col>
      <xdr:colOff>372632</xdr:colOff>
      <xdr:row>33</xdr:row>
      <xdr:rowOff>8004</xdr:rowOff>
    </xdr:to>
    <xdr:pic>
      <xdr:nvPicPr>
        <xdr:cNvPr id="28" name="Grafik 27">
          <a:extLst>
            <a:ext uri="{FF2B5EF4-FFF2-40B4-BE49-F238E27FC236}">
              <a16:creationId xmlns:a16="http://schemas.microsoft.com/office/drawing/2014/main" id="{8048154E-83EB-8F63-9260-9FDBF2C3F7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5255204" y="7870825"/>
          <a:ext cx="347519" cy="345997"/>
        </a:xfrm>
        <a:prstGeom prst="rect">
          <a:avLst/>
        </a:prstGeom>
      </xdr:spPr>
    </xdr:pic>
    <xdr:clientData/>
  </xdr:twoCellAnchor>
  <xdr:twoCellAnchor>
    <xdr:from>
      <xdr:col>1</xdr:col>
      <xdr:colOff>1</xdr:colOff>
      <xdr:row>44</xdr:row>
      <xdr:rowOff>9524</xdr:rowOff>
    </xdr:from>
    <xdr:to>
      <xdr:col>21</xdr:col>
      <xdr:colOff>11208</xdr:colOff>
      <xdr:row>46</xdr:row>
      <xdr:rowOff>1922</xdr:rowOff>
    </xdr:to>
    <xdr:grpSp>
      <xdr:nvGrpSpPr>
        <xdr:cNvPr id="2" name="Gruppieren 1">
          <a:extLst>
            <a:ext uri="{FF2B5EF4-FFF2-40B4-BE49-F238E27FC236}">
              <a16:creationId xmlns:a16="http://schemas.microsoft.com/office/drawing/2014/main" id="{0E0CC6C5-A126-4D84-8A11-83B2B8DD5FDA}"/>
            </a:ext>
          </a:extLst>
        </xdr:cNvPr>
        <xdr:cNvGrpSpPr/>
      </xdr:nvGrpSpPr>
      <xdr:grpSpPr>
        <a:xfrm rot="16200000">
          <a:off x="3895605" y="8775820"/>
          <a:ext cx="351173" cy="6904132"/>
          <a:chOff x="0" y="4873"/>
          <a:chExt cx="3783184" cy="10594075"/>
        </a:xfrm>
      </xdr:grpSpPr>
      <xdr:sp macro="" textlink="">
        <xdr:nvSpPr>
          <xdr:cNvPr id="3" name="Rechteck 2">
            <a:extLst>
              <a:ext uri="{FF2B5EF4-FFF2-40B4-BE49-F238E27FC236}">
                <a16:creationId xmlns:a16="http://schemas.microsoft.com/office/drawing/2014/main" id="{C579C31A-A086-FBF3-D828-993150A5A1C5}"/>
              </a:ext>
            </a:extLst>
          </xdr:cNvPr>
          <xdr:cNvSpPr/>
        </xdr:nvSpPr>
        <xdr:spPr>
          <a:xfrm>
            <a:off x="7" y="4873"/>
            <a:ext cx="3783177" cy="2117650"/>
          </a:xfrm>
          <a:prstGeom prst="rect">
            <a:avLst/>
          </a:prstGeom>
          <a:solidFill>
            <a:srgbClr val="BBE8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kern="1200"/>
          </a:p>
        </xdr:txBody>
      </xdr:sp>
      <xdr:sp macro="" textlink="">
        <xdr:nvSpPr>
          <xdr:cNvPr id="4" name="Rechteck 3">
            <a:extLst>
              <a:ext uri="{FF2B5EF4-FFF2-40B4-BE49-F238E27FC236}">
                <a16:creationId xmlns:a16="http://schemas.microsoft.com/office/drawing/2014/main" id="{BB5BD97E-66D7-718E-B078-C77E8E3E01CB}"/>
              </a:ext>
            </a:extLst>
          </xdr:cNvPr>
          <xdr:cNvSpPr/>
        </xdr:nvSpPr>
        <xdr:spPr>
          <a:xfrm>
            <a:off x="0" y="2114963"/>
            <a:ext cx="3780000" cy="2126309"/>
          </a:xfrm>
          <a:prstGeom prst="rect">
            <a:avLst/>
          </a:prstGeom>
          <a:solidFill>
            <a:srgbClr val="5BBE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kern="1200"/>
          </a:p>
        </xdr:txBody>
      </xdr:sp>
      <xdr:sp macro="" textlink="">
        <xdr:nvSpPr>
          <xdr:cNvPr id="5" name="Rechteck 4">
            <a:extLst>
              <a:ext uri="{FF2B5EF4-FFF2-40B4-BE49-F238E27FC236}">
                <a16:creationId xmlns:a16="http://schemas.microsoft.com/office/drawing/2014/main" id="{D5A5C440-4AA5-C85F-F9CB-B97DD5FD16B2}"/>
              </a:ext>
            </a:extLst>
          </xdr:cNvPr>
          <xdr:cNvSpPr/>
        </xdr:nvSpPr>
        <xdr:spPr>
          <a:xfrm>
            <a:off x="0" y="4240810"/>
            <a:ext cx="3780000" cy="2123134"/>
          </a:xfrm>
          <a:prstGeom prst="rect">
            <a:avLst/>
          </a:prstGeom>
          <a:solidFill>
            <a:srgbClr val="4472C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kern="1200"/>
          </a:p>
        </xdr:txBody>
      </xdr:sp>
      <xdr:sp macro="" textlink="">
        <xdr:nvSpPr>
          <xdr:cNvPr id="6" name="Rechteck 5">
            <a:extLst>
              <a:ext uri="{FF2B5EF4-FFF2-40B4-BE49-F238E27FC236}">
                <a16:creationId xmlns:a16="http://schemas.microsoft.com/office/drawing/2014/main" id="{FC09C81D-6EE3-513F-78E7-882F57416E7B}"/>
              </a:ext>
            </a:extLst>
          </xdr:cNvPr>
          <xdr:cNvSpPr>
            <a:spLocks/>
          </xdr:cNvSpPr>
        </xdr:nvSpPr>
        <xdr:spPr>
          <a:xfrm>
            <a:off x="0" y="6350492"/>
            <a:ext cx="3783175" cy="2124850"/>
          </a:xfrm>
          <a:prstGeom prst="rect">
            <a:avLst/>
          </a:prstGeom>
          <a:solidFill>
            <a:srgbClr val="C7C7C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kern="1200"/>
          </a:p>
        </xdr:txBody>
      </xdr:sp>
      <xdr:sp macro="" textlink="">
        <xdr:nvSpPr>
          <xdr:cNvPr id="7" name="Rechteck 6">
            <a:extLst>
              <a:ext uri="{FF2B5EF4-FFF2-40B4-BE49-F238E27FC236}">
                <a16:creationId xmlns:a16="http://schemas.microsoft.com/office/drawing/2014/main" id="{ED6DF478-F298-ED1E-9156-4F264FCA1DCA}"/>
              </a:ext>
            </a:extLst>
          </xdr:cNvPr>
          <xdr:cNvSpPr/>
        </xdr:nvSpPr>
        <xdr:spPr>
          <a:xfrm>
            <a:off x="0" y="8474114"/>
            <a:ext cx="3783175" cy="2124834"/>
          </a:xfrm>
          <a:prstGeom prst="rect">
            <a:avLst/>
          </a:prstGeom>
          <a:solidFill>
            <a:srgbClr val="E3E3E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kern="1200"/>
          </a:p>
        </xdr:txBody>
      </xdr:sp>
    </xdr:grpSp>
    <xdr:clientData/>
  </xdr:twoCellAnchor>
  <xdr:twoCellAnchor>
    <xdr:from>
      <xdr:col>1</xdr:col>
      <xdr:colOff>0</xdr:colOff>
      <xdr:row>7</xdr:row>
      <xdr:rowOff>7628</xdr:rowOff>
    </xdr:from>
    <xdr:to>
      <xdr:col>21</xdr:col>
      <xdr:colOff>8033</xdr:colOff>
      <xdr:row>7</xdr:row>
      <xdr:rowOff>44903</xdr:rowOff>
    </xdr:to>
    <xdr:grpSp>
      <xdr:nvGrpSpPr>
        <xdr:cNvPr id="8" name="Gruppieren 7">
          <a:extLst>
            <a:ext uri="{FF2B5EF4-FFF2-40B4-BE49-F238E27FC236}">
              <a16:creationId xmlns:a16="http://schemas.microsoft.com/office/drawing/2014/main" id="{0D66E1A4-405B-40AD-9077-28B6B584D2D8}"/>
            </a:ext>
          </a:extLst>
        </xdr:cNvPr>
        <xdr:cNvGrpSpPr/>
      </xdr:nvGrpSpPr>
      <xdr:grpSpPr>
        <a:xfrm rot="16200000">
          <a:off x="4054141" y="-538138"/>
          <a:ext cx="37275" cy="6907308"/>
          <a:chOff x="0" y="0"/>
          <a:chExt cx="3783175" cy="10598948"/>
        </a:xfrm>
      </xdr:grpSpPr>
      <xdr:sp macro="" textlink="">
        <xdr:nvSpPr>
          <xdr:cNvPr id="9" name="Rechteck 8">
            <a:extLst>
              <a:ext uri="{FF2B5EF4-FFF2-40B4-BE49-F238E27FC236}">
                <a16:creationId xmlns:a16="http://schemas.microsoft.com/office/drawing/2014/main" id="{8499B3B8-2D7B-0D1F-720B-1287C26B7EC8}"/>
              </a:ext>
            </a:extLst>
          </xdr:cNvPr>
          <xdr:cNvSpPr/>
        </xdr:nvSpPr>
        <xdr:spPr>
          <a:xfrm>
            <a:off x="0" y="0"/>
            <a:ext cx="3783175" cy="2117650"/>
          </a:xfrm>
          <a:prstGeom prst="rect">
            <a:avLst/>
          </a:prstGeom>
          <a:solidFill>
            <a:srgbClr val="BBE8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kern="1200"/>
          </a:p>
        </xdr:txBody>
      </xdr:sp>
      <xdr:sp macro="" textlink="">
        <xdr:nvSpPr>
          <xdr:cNvPr id="10" name="Rechteck 9">
            <a:extLst>
              <a:ext uri="{FF2B5EF4-FFF2-40B4-BE49-F238E27FC236}">
                <a16:creationId xmlns:a16="http://schemas.microsoft.com/office/drawing/2014/main" id="{8C748111-5CDD-32DD-1C52-7480E2DFF312}"/>
              </a:ext>
            </a:extLst>
          </xdr:cNvPr>
          <xdr:cNvSpPr/>
        </xdr:nvSpPr>
        <xdr:spPr>
          <a:xfrm>
            <a:off x="0" y="2114963"/>
            <a:ext cx="3780000" cy="2126309"/>
          </a:xfrm>
          <a:prstGeom prst="rect">
            <a:avLst/>
          </a:prstGeom>
          <a:solidFill>
            <a:srgbClr val="5BBE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kern="1200"/>
          </a:p>
        </xdr:txBody>
      </xdr:sp>
      <xdr:sp macro="" textlink="">
        <xdr:nvSpPr>
          <xdr:cNvPr id="11" name="Rechteck 10">
            <a:extLst>
              <a:ext uri="{FF2B5EF4-FFF2-40B4-BE49-F238E27FC236}">
                <a16:creationId xmlns:a16="http://schemas.microsoft.com/office/drawing/2014/main" id="{8F3499F8-5F3A-92C6-50F8-D3F5FD4DF72C}"/>
              </a:ext>
            </a:extLst>
          </xdr:cNvPr>
          <xdr:cNvSpPr/>
        </xdr:nvSpPr>
        <xdr:spPr>
          <a:xfrm>
            <a:off x="0" y="4240810"/>
            <a:ext cx="3780000" cy="2123134"/>
          </a:xfrm>
          <a:prstGeom prst="rect">
            <a:avLst/>
          </a:prstGeom>
          <a:solidFill>
            <a:srgbClr val="4472C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kern="1200"/>
          </a:p>
        </xdr:txBody>
      </xdr:sp>
      <xdr:sp macro="" textlink="">
        <xdr:nvSpPr>
          <xdr:cNvPr id="12" name="Rechteck 11">
            <a:extLst>
              <a:ext uri="{FF2B5EF4-FFF2-40B4-BE49-F238E27FC236}">
                <a16:creationId xmlns:a16="http://schemas.microsoft.com/office/drawing/2014/main" id="{2A08C8A3-E0E4-C808-9E4A-98C52744CE50}"/>
              </a:ext>
            </a:extLst>
          </xdr:cNvPr>
          <xdr:cNvSpPr>
            <a:spLocks/>
          </xdr:cNvSpPr>
        </xdr:nvSpPr>
        <xdr:spPr>
          <a:xfrm>
            <a:off x="0" y="6350492"/>
            <a:ext cx="3783175" cy="2124850"/>
          </a:xfrm>
          <a:prstGeom prst="rect">
            <a:avLst/>
          </a:prstGeom>
          <a:solidFill>
            <a:srgbClr val="C7C7C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kern="1200"/>
          </a:p>
        </xdr:txBody>
      </xdr:sp>
      <xdr:sp macro="" textlink="">
        <xdr:nvSpPr>
          <xdr:cNvPr id="13" name="Rechteck 12">
            <a:extLst>
              <a:ext uri="{FF2B5EF4-FFF2-40B4-BE49-F238E27FC236}">
                <a16:creationId xmlns:a16="http://schemas.microsoft.com/office/drawing/2014/main" id="{D88B6843-24D0-49F8-4FAD-F6E455AEF44F}"/>
              </a:ext>
            </a:extLst>
          </xdr:cNvPr>
          <xdr:cNvSpPr/>
        </xdr:nvSpPr>
        <xdr:spPr>
          <a:xfrm>
            <a:off x="0" y="8474114"/>
            <a:ext cx="3783175" cy="2124834"/>
          </a:xfrm>
          <a:prstGeom prst="rect">
            <a:avLst/>
          </a:prstGeom>
          <a:solidFill>
            <a:srgbClr val="E3E3E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kern="1200"/>
          </a:p>
        </xdr:txBody>
      </xdr:sp>
    </xdr:grpSp>
    <xdr:clientData/>
  </xdr:twoCellAnchor>
  <xdr:twoCellAnchor>
    <xdr:from>
      <xdr:col>1</xdr:col>
      <xdr:colOff>9525</xdr:colOff>
      <xdr:row>23</xdr:row>
      <xdr:rowOff>12246</xdr:rowOff>
    </xdr:from>
    <xdr:to>
      <xdr:col>21</xdr:col>
      <xdr:colOff>9525</xdr:colOff>
      <xdr:row>23</xdr:row>
      <xdr:rowOff>12246</xdr:rowOff>
    </xdr:to>
    <xdr:cxnSp macro="">
      <xdr:nvCxnSpPr>
        <xdr:cNvPr id="14" name="Gerader Verbinder 13">
          <a:extLst>
            <a:ext uri="{FF2B5EF4-FFF2-40B4-BE49-F238E27FC236}">
              <a16:creationId xmlns:a16="http://schemas.microsoft.com/office/drawing/2014/main" id="{182D30DE-1C33-472B-9505-C88C55A389EE}"/>
            </a:ext>
          </a:extLst>
        </xdr:cNvPr>
        <xdr:cNvCxnSpPr>
          <a:cxnSpLocks/>
        </xdr:cNvCxnSpPr>
      </xdr:nvCxnSpPr>
      <xdr:spPr>
        <a:xfrm>
          <a:off x="6350" y="3961946"/>
          <a:ext cx="6905625" cy="0"/>
        </a:xfrm>
        <a:prstGeom prst="line">
          <a:avLst/>
        </a:prstGeom>
        <a:ln w="12700">
          <a:solidFill>
            <a:srgbClr val="4472C4"/>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6350</xdr:colOff>
      <xdr:row>40</xdr:row>
      <xdr:rowOff>7434</xdr:rowOff>
    </xdr:from>
    <xdr:to>
      <xdr:col>21</xdr:col>
      <xdr:colOff>6350</xdr:colOff>
      <xdr:row>40</xdr:row>
      <xdr:rowOff>7434</xdr:rowOff>
    </xdr:to>
    <xdr:cxnSp macro="">
      <xdr:nvCxnSpPr>
        <xdr:cNvPr id="15" name="Gerader Verbinder 14">
          <a:extLst>
            <a:ext uri="{FF2B5EF4-FFF2-40B4-BE49-F238E27FC236}">
              <a16:creationId xmlns:a16="http://schemas.microsoft.com/office/drawing/2014/main" id="{FA676865-A93A-461D-91C3-2A6AB7DBDC6A}"/>
            </a:ext>
          </a:extLst>
        </xdr:cNvPr>
        <xdr:cNvCxnSpPr>
          <a:cxnSpLocks/>
        </xdr:cNvCxnSpPr>
      </xdr:nvCxnSpPr>
      <xdr:spPr>
        <a:xfrm>
          <a:off x="9525" y="7240084"/>
          <a:ext cx="6905625" cy="0"/>
        </a:xfrm>
        <a:prstGeom prst="line">
          <a:avLst/>
        </a:prstGeom>
        <a:ln w="12700">
          <a:solidFill>
            <a:srgbClr val="4472C4"/>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2</xdr:col>
      <xdr:colOff>53979</xdr:colOff>
      <xdr:row>28</xdr:row>
      <xdr:rowOff>29195</xdr:rowOff>
    </xdr:from>
    <xdr:to>
      <xdr:col>2</xdr:col>
      <xdr:colOff>325360</xdr:colOff>
      <xdr:row>29</xdr:row>
      <xdr:rowOff>115560</xdr:rowOff>
    </xdr:to>
    <xdr:pic>
      <xdr:nvPicPr>
        <xdr:cNvPr id="16" name="Grafik 15">
          <a:extLst>
            <a:ext uri="{FF2B5EF4-FFF2-40B4-BE49-F238E27FC236}">
              <a16:creationId xmlns:a16="http://schemas.microsoft.com/office/drawing/2014/main" id="{A39C67E8-83AB-4D9F-BDDE-E2A44F85E88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rcRect/>
        <a:stretch/>
      </xdr:blipFill>
      <xdr:spPr>
        <a:xfrm>
          <a:off x="997820" y="7038729"/>
          <a:ext cx="271381" cy="268206"/>
        </a:xfrm>
        <a:prstGeom prst="rect">
          <a:avLst/>
        </a:prstGeom>
        <a:ln>
          <a:noFill/>
        </a:ln>
      </xdr:spPr>
    </xdr:pic>
    <xdr:clientData/>
  </xdr:twoCellAnchor>
  <xdr:twoCellAnchor editAs="oneCell">
    <xdr:from>
      <xdr:col>2</xdr:col>
      <xdr:colOff>68408</xdr:colOff>
      <xdr:row>31</xdr:row>
      <xdr:rowOff>21211</xdr:rowOff>
    </xdr:from>
    <xdr:to>
      <xdr:col>2</xdr:col>
      <xdr:colOff>334530</xdr:colOff>
      <xdr:row>32</xdr:row>
      <xdr:rowOff>101742</xdr:rowOff>
    </xdr:to>
    <xdr:pic>
      <xdr:nvPicPr>
        <xdr:cNvPr id="17" name="Grafik 16">
          <a:extLst>
            <a:ext uri="{FF2B5EF4-FFF2-40B4-BE49-F238E27FC236}">
              <a16:creationId xmlns:a16="http://schemas.microsoft.com/office/drawing/2014/main" id="{312B3051-D163-4898-8116-5AFE1024D46F}"/>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1012249" y="7424734"/>
          <a:ext cx="266122" cy="268723"/>
        </a:xfrm>
        <a:prstGeom prst="rect">
          <a:avLst/>
        </a:prstGeom>
        <a:ln>
          <a:noFill/>
        </a:ln>
      </xdr:spPr>
    </xdr:pic>
    <xdr:clientData/>
  </xdr:twoCellAnchor>
  <xdr:twoCellAnchor editAs="oneCell">
    <xdr:from>
      <xdr:col>2</xdr:col>
      <xdr:colOff>52447</xdr:colOff>
      <xdr:row>34</xdr:row>
      <xdr:rowOff>18659</xdr:rowOff>
    </xdr:from>
    <xdr:to>
      <xdr:col>2</xdr:col>
      <xdr:colOff>331939</xdr:colOff>
      <xdr:row>35</xdr:row>
      <xdr:rowOff>124823</xdr:rowOff>
    </xdr:to>
    <xdr:pic>
      <xdr:nvPicPr>
        <xdr:cNvPr id="18" name="Grafik 17">
          <a:extLst>
            <a:ext uri="{FF2B5EF4-FFF2-40B4-BE49-F238E27FC236}">
              <a16:creationId xmlns:a16="http://schemas.microsoft.com/office/drawing/2014/main" id="{F103AD08-B0EB-4065-A152-54F074D12235}"/>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rcRect/>
        <a:stretch/>
      </xdr:blipFill>
      <xdr:spPr>
        <a:xfrm>
          <a:off x="996288" y="7816170"/>
          <a:ext cx="285842" cy="285564"/>
        </a:xfrm>
        <a:prstGeom prst="rect">
          <a:avLst/>
        </a:prstGeom>
      </xdr:spPr>
    </xdr:pic>
    <xdr:clientData/>
  </xdr:twoCellAnchor>
  <xdr:twoCellAnchor editAs="oneCell">
    <xdr:from>
      <xdr:col>2</xdr:col>
      <xdr:colOff>36353</xdr:colOff>
      <xdr:row>37</xdr:row>
      <xdr:rowOff>276</xdr:rowOff>
    </xdr:from>
    <xdr:to>
      <xdr:col>2</xdr:col>
      <xdr:colOff>353068</xdr:colOff>
      <xdr:row>38</xdr:row>
      <xdr:rowOff>133417</xdr:rowOff>
    </xdr:to>
    <xdr:pic>
      <xdr:nvPicPr>
        <xdr:cNvPr id="19" name="Grafik 18">
          <a:extLst>
            <a:ext uri="{FF2B5EF4-FFF2-40B4-BE49-F238E27FC236}">
              <a16:creationId xmlns:a16="http://schemas.microsoft.com/office/drawing/2014/main" id="{1E6FDCB4-E9D8-4274-92CC-92072101A749}"/>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rcRect/>
        <a:stretch/>
      </xdr:blipFill>
      <xdr:spPr>
        <a:xfrm flipH="1">
          <a:off x="980194" y="8248060"/>
          <a:ext cx="316715" cy="316715"/>
        </a:xfrm>
        <a:prstGeom prst="rect">
          <a:avLst/>
        </a:prstGeom>
      </xdr:spPr>
    </xdr:pic>
    <xdr:clientData/>
  </xdr:twoCellAnchor>
  <xdr:twoCellAnchor editAs="oneCell">
    <xdr:from>
      <xdr:col>7</xdr:col>
      <xdr:colOff>16164</xdr:colOff>
      <xdr:row>28</xdr:row>
      <xdr:rowOff>10655</xdr:rowOff>
    </xdr:from>
    <xdr:to>
      <xdr:col>7</xdr:col>
      <xdr:colOff>374599</xdr:colOff>
      <xdr:row>30</xdr:row>
      <xdr:rowOff>97</xdr:rowOff>
    </xdr:to>
    <xdr:pic>
      <xdr:nvPicPr>
        <xdr:cNvPr id="20" name="Grafik 19">
          <a:extLst>
            <a:ext uri="{FF2B5EF4-FFF2-40B4-BE49-F238E27FC236}">
              <a16:creationId xmlns:a16="http://schemas.microsoft.com/office/drawing/2014/main" id="{BB8E2FEB-C43E-4D0A-B598-2FA7B2265BB3}"/>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rcRect/>
        <a:stretch/>
      </xdr:blipFill>
      <xdr:spPr>
        <a:xfrm>
          <a:off x="2908300" y="7418507"/>
          <a:ext cx="352085" cy="317333"/>
        </a:xfrm>
        <a:prstGeom prst="rect">
          <a:avLst/>
        </a:prstGeom>
      </xdr:spPr>
    </xdr:pic>
    <xdr:clientData/>
  </xdr:twoCellAnchor>
  <xdr:twoCellAnchor editAs="oneCell">
    <xdr:from>
      <xdr:col>7</xdr:col>
      <xdr:colOff>45894</xdr:colOff>
      <xdr:row>31</xdr:row>
      <xdr:rowOff>21711</xdr:rowOff>
    </xdr:from>
    <xdr:to>
      <xdr:col>7</xdr:col>
      <xdr:colOff>350052</xdr:colOff>
      <xdr:row>32</xdr:row>
      <xdr:rowOff>124979</xdr:rowOff>
    </xdr:to>
    <xdr:pic>
      <xdr:nvPicPr>
        <xdr:cNvPr id="21" name="Grafik 20">
          <a:extLst>
            <a:ext uri="{FF2B5EF4-FFF2-40B4-BE49-F238E27FC236}">
              <a16:creationId xmlns:a16="http://schemas.microsoft.com/office/drawing/2014/main" id="{295D2912-1AF7-4584-9E94-939166B162CB}"/>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rcRect/>
        <a:stretch/>
      </xdr:blipFill>
      <xdr:spPr>
        <a:xfrm>
          <a:off x="2938030" y="7425234"/>
          <a:ext cx="304158" cy="286841"/>
        </a:xfrm>
        <a:prstGeom prst="rect">
          <a:avLst/>
        </a:prstGeom>
      </xdr:spPr>
    </xdr:pic>
    <xdr:clientData/>
  </xdr:twoCellAnchor>
  <xdr:twoCellAnchor editAs="oneCell">
    <xdr:from>
      <xdr:col>7</xdr:col>
      <xdr:colOff>22114</xdr:colOff>
      <xdr:row>33</xdr:row>
      <xdr:rowOff>126871</xdr:rowOff>
    </xdr:from>
    <xdr:to>
      <xdr:col>7</xdr:col>
      <xdr:colOff>364114</xdr:colOff>
      <xdr:row>36</xdr:row>
      <xdr:rowOff>2444</xdr:rowOff>
    </xdr:to>
    <xdr:pic>
      <xdr:nvPicPr>
        <xdr:cNvPr id="22" name="Grafik 21">
          <a:extLst>
            <a:ext uri="{FF2B5EF4-FFF2-40B4-BE49-F238E27FC236}">
              <a16:creationId xmlns:a16="http://schemas.microsoft.com/office/drawing/2014/main" id="{35F90440-077B-42CF-A675-E88DD394C38C}"/>
            </a:ext>
          </a:extLst>
        </xdr:cNvPr>
        <xdr:cNvPicPr>
          <a:picLocks/>
        </xdr:cNvPicPr>
      </xdr:nvPicPr>
      <xdr:blipFill>
        <a:blip xmlns:r="http://schemas.openxmlformats.org/officeDocument/2006/relationships" r:embed="rId15">
          <a:extLst>
            <a:ext uri="{96DAC541-7B7A-43D3-8B79-37D633B846F1}">
              <asvg:svgBlip xmlns:asvg="http://schemas.microsoft.com/office/drawing/2016/SVG/main" r:embed="rId16"/>
            </a:ext>
          </a:extLst>
        </a:blip>
        <a:srcRect/>
        <a:stretch/>
      </xdr:blipFill>
      <xdr:spPr>
        <a:xfrm>
          <a:off x="2914250" y="8335689"/>
          <a:ext cx="342000" cy="343164"/>
        </a:xfrm>
        <a:prstGeom prst="rect">
          <a:avLst/>
        </a:prstGeom>
      </xdr:spPr>
    </xdr:pic>
    <xdr:clientData/>
  </xdr:twoCellAnchor>
  <xdr:twoCellAnchor editAs="oneCell">
    <xdr:from>
      <xdr:col>7</xdr:col>
      <xdr:colOff>45756</xdr:colOff>
      <xdr:row>37</xdr:row>
      <xdr:rowOff>8660</xdr:rowOff>
    </xdr:from>
    <xdr:to>
      <xdr:col>7</xdr:col>
      <xdr:colOff>352742</xdr:colOff>
      <xdr:row>38</xdr:row>
      <xdr:rowOff>126094</xdr:rowOff>
    </xdr:to>
    <xdr:pic>
      <xdr:nvPicPr>
        <xdr:cNvPr id="23" name="Grafik 22">
          <a:extLst>
            <a:ext uri="{FF2B5EF4-FFF2-40B4-BE49-F238E27FC236}">
              <a16:creationId xmlns:a16="http://schemas.microsoft.com/office/drawing/2014/main" id="{1733AE0F-2A8E-479D-8811-B2D39FA41CEB}"/>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rcRect/>
        <a:stretch/>
      </xdr:blipFill>
      <xdr:spPr>
        <a:xfrm>
          <a:off x="2937892" y="8256444"/>
          <a:ext cx="306986" cy="296834"/>
        </a:xfrm>
        <a:prstGeom prst="rect">
          <a:avLst/>
        </a:prstGeom>
      </xdr:spPr>
    </xdr:pic>
    <xdr:clientData/>
  </xdr:twoCellAnchor>
  <xdr:twoCellAnchor editAs="oneCell">
    <xdr:from>
      <xdr:col>15</xdr:col>
      <xdr:colOff>50763</xdr:colOff>
      <xdr:row>28</xdr:row>
      <xdr:rowOff>9701</xdr:rowOff>
    </xdr:from>
    <xdr:to>
      <xdr:col>15</xdr:col>
      <xdr:colOff>352459</xdr:colOff>
      <xdr:row>29</xdr:row>
      <xdr:rowOff>125364</xdr:rowOff>
    </xdr:to>
    <xdr:pic>
      <xdr:nvPicPr>
        <xdr:cNvPr id="24" name="Grafik 23">
          <a:extLst>
            <a:ext uri="{FF2B5EF4-FFF2-40B4-BE49-F238E27FC236}">
              <a16:creationId xmlns:a16="http://schemas.microsoft.com/office/drawing/2014/main" id="{53271426-760D-4CFA-B020-53F9073E7BD6}"/>
            </a:ext>
          </a:extLst>
        </xdr:cNvPr>
        <xdr:cNvPicPr>
          <a:picLocks noChangeAspect="1"/>
        </xdr:cNvPicPr>
      </xdr:nvPicPr>
      <xdr:blipFill>
        <a:blip xmlns:r="http://schemas.openxmlformats.org/officeDocument/2006/relationships" r:embed="rId19">
          <a:extLst>
            <a:ext uri="{96DAC541-7B7A-43D3-8B79-37D633B846F1}">
              <asvg:svgBlip xmlns:asvg="http://schemas.microsoft.com/office/drawing/2016/SVG/main" r:embed="rId20"/>
            </a:ext>
          </a:extLst>
        </a:blip>
        <a:srcRect/>
        <a:stretch/>
      </xdr:blipFill>
      <xdr:spPr>
        <a:xfrm>
          <a:off x="5291127" y="7012998"/>
          <a:ext cx="295346" cy="295346"/>
        </a:xfrm>
        <a:prstGeom prst="rect">
          <a:avLst/>
        </a:prstGeom>
      </xdr:spPr>
    </xdr:pic>
    <xdr:clientData/>
  </xdr:twoCellAnchor>
  <xdr:twoCellAnchor editAs="oneCell">
    <xdr:from>
      <xdr:col>15</xdr:col>
      <xdr:colOff>42474</xdr:colOff>
      <xdr:row>34</xdr:row>
      <xdr:rowOff>827</xdr:rowOff>
    </xdr:from>
    <xdr:to>
      <xdr:col>15</xdr:col>
      <xdr:colOff>361284</xdr:colOff>
      <xdr:row>35</xdr:row>
      <xdr:rowOff>133510</xdr:rowOff>
    </xdr:to>
    <xdr:pic>
      <xdr:nvPicPr>
        <xdr:cNvPr id="26" name="Grafik 25">
          <a:extLst>
            <a:ext uri="{FF2B5EF4-FFF2-40B4-BE49-F238E27FC236}">
              <a16:creationId xmlns:a16="http://schemas.microsoft.com/office/drawing/2014/main" id="{99A9A455-53AA-4E5F-B5D7-490EFB52F10F}"/>
            </a:ext>
          </a:extLst>
        </xdr:cNvPr>
        <xdr:cNvPicPr>
          <a:picLocks noChangeAspect="1"/>
        </xdr:cNvPicPr>
      </xdr:nvPicPr>
      <xdr:blipFill>
        <a:blip xmlns:r="http://schemas.openxmlformats.org/officeDocument/2006/relationships" r:embed="rId21">
          <a:extLst>
            <a:ext uri="{96DAC541-7B7A-43D3-8B79-37D633B846F1}">
              <asvg:svgBlip xmlns:asvg="http://schemas.microsoft.com/office/drawing/2016/SVG/main" r:embed="rId22"/>
            </a:ext>
          </a:extLst>
        </a:blip>
        <a:srcRect/>
        <a:stretch/>
      </xdr:blipFill>
      <xdr:spPr>
        <a:xfrm>
          <a:off x="5282838" y="7785496"/>
          <a:ext cx="318810" cy="309193"/>
        </a:xfrm>
        <a:prstGeom prst="rect">
          <a:avLst/>
        </a:prstGeom>
      </xdr:spPr>
    </xdr:pic>
    <xdr:clientData/>
  </xdr:twoCellAnchor>
  <xdr:twoCellAnchor editAs="oneCell">
    <xdr:from>
      <xdr:col>15</xdr:col>
      <xdr:colOff>30285</xdr:colOff>
      <xdr:row>36</xdr:row>
      <xdr:rowOff>134037</xdr:rowOff>
    </xdr:from>
    <xdr:to>
      <xdr:col>15</xdr:col>
      <xdr:colOff>372285</xdr:colOff>
      <xdr:row>39</xdr:row>
      <xdr:rowOff>12146</xdr:rowOff>
    </xdr:to>
    <xdr:pic>
      <xdr:nvPicPr>
        <xdr:cNvPr id="27" name="Grafik 26">
          <a:extLst>
            <a:ext uri="{FF2B5EF4-FFF2-40B4-BE49-F238E27FC236}">
              <a16:creationId xmlns:a16="http://schemas.microsoft.com/office/drawing/2014/main" id="{AAE30111-4B4D-499A-9966-B160A4C10A9A}"/>
            </a:ext>
          </a:extLst>
        </xdr:cNvPr>
        <xdr:cNvPicPr>
          <a:picLocks/>
        </xdr:cNvPicPr>
      </xdr:nvPicPr>
      <xdr:blipFill>
        <a:blip xmlns:r="http://schemas.openxmlformats.org/officeDocument/2006/relationships" r:embed="rId23">
          <a:extLst>
            <a:ext uri="{96DAC541-7B7A-43D3-8B79-37D633B846F1}">
              <asvg:svgBlip xmlns:asvg="http://schemas.microsoft.com/office/drawing/2016/SVG/main" r:embed="rId24"/>
            </a:ext>
          </a:extLst>
        </a:blip>
        <a:srcRect/>
        <a:stretch/>
      </xdr:blipFill>
      <xdr:spPr>
        <a:xfrm>
          <a:off x="5257829" y="8798986"/>
          <a:ext cx="342000" cy="345954"/>
        </a:xfrm>
        <a:prstGeom prst="rect">
          <a:avLst/>
        </a:prstGeom>
      </xdr:spPr>
    </xdr:pic>
    <xdr:clientData/>
  </xdr:twoCellAnchor>
  <xdr:twoCellAnchor>
    <xdr:from>
      <xdr:col>17</xdr:col>
      <xdr:colOff>123265</xdr:colOff>
      <xdr:row>44</xdr:row>
      <xdr:rowOff>0</xdr:rowOff>
    </xdr:from>
    <xdr:to>
      <xdr:col>21</xdr:col>
      <xdr:colOff>1</xdr:colOff>
      <xdr:row>46</xdr:row>
      <xdr:rowOff>0</xdr:rowOff>
    </xdr:to>
    <xdr:sp macro="" textlink="$S$48">
      <xdr:nvSpPr>
        <xdr:cNvPr id="25" name="Textfeld 24">
          <a:extLst>
            <a:ext uri="{FF2B5EF4-FFF2-40B4-BE49-F238E27FC236}">
              <a16:creationId xmlns:a16="http://schemas.microsoft.com/office/drawing/2014/main" id="{FB021B2C-9175-68E9-901B-DD586AEF864F}"/>
            </a:ext>
          </a:extLst>
        </xdr:cNvPr>
        <xdr:cNvSpPr txBox="1"/>
      </xdr:nvSpPr>
      <xdr:spPr>
        <a:xfrm>
          <a:off x="6143065" y="11915775"/>
          <a:ext cx="1372161"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EE112BB9-61E1-4751-84C9-05EC62DEB828}" type="TxLink">
            <a:rPr lang="en-US" sz="1000" b="0" i="0" u="none" strike="noStrike" kern="1200">
              <a:solidFill>
                <a:schemeClr val="tx1"/>
              </a:solidFill>
              <a:latin typeface="Yu Gothic UI Light" panose="020B0300000000000000" pitchFamily="34" charset="-128"/>
              <a:ea typeface="Yu Gothic UI Light" panose="020B0300000000000000" pitchFamily="34" charset="-128"/>
              <a:cs typeface="Calibri"/>
            </a:rPr>
            <a:pPr algn="r"/>
            <a:t>03.02.2026</a:t>
          </a:fld>
          <a:endParaRPr lang="de-DE" sz="1000" kern="1200">
            <a:solidFill>
              <a:schemeClr val="tx1"/>
            </a:solidFill>
            <a:latin typeface="Yu Gothic UI Light" panose="020B0300000000000000" pitchFamily="34" charset="-128"/>
            <a:ea typeface="Yu Gothic UI Light" panose="020B0300000000000000" pitchFamily="34" charset="-128"/>
          </a:endParaRPr>
        </a:p>
      </xdr:txBody>
    </xdr:sp>
    <xdr:clientData/>
  </xdr:twoCellAnchor>
  <xdr:twoCellAnchor>
    <xdr:from>
      <xdr:col>1</xdr:col>
      <xdr:colOff>21721</xdr:colOff>
      <xdr:row>5</xdr:row>
      <xdr:rowOff>152769</xdr:rowOff>
    </xdr:from>
    <xdr:to>
      <xdr:col>21</xdr:col>
      <xdr:colOff>93239</xdr:colOff>
      <xdr:row>6</xdr:row>
      <xdr:rowOff>761130</xdr:rowOff>
    </xdr:to>
    <xdr:grpSp>
      <xdr:nvGrpSpPr>
        <xdr:cNvPr id="59" name="Gruppieren 58">
          <a:extLst>
            <a:ext uri="{FF2B5EF4-FFF2-40B4-BE49-F238E27FC236}">
              <a16:creationId xmlns:a16="http://schemas.microsoft.com/office/drawing/2014/main" id="{90C92230-B70F-FAB4-4196-66A9730C6462}"/>
            </a:ext>
          </a:extLst>
        </xdr:cNvPr>
        <xdr:cNvGrpSpPr/>
      </xdr:nvGrpSpPr>
      <xdr:grpSpPr>
        <a:xfrm>
          <a:off x="640846" y="2086344"/>
          <a:ext cx="6967618" cy="789336"/>
          <a:chOff x="632476" y="10730137"/>
          <a:chExt cx="7109049" cy="812138"/>
        </a:xfrm>
      </xdr:grpSpPr>
      <xdr:pic>
        <xdr:nvPicPr>
          <xdr:cNvPr id="40" name="Grafik 39">
            <a:extLst>
              <a:ext uri="{FF2B5EF4-FFF2-40B4-BE49-F238E27FC236}">
                <a16:creationId xmlns:a16="http://schemas.microsoft.com/office/drawing/2014/main" id="{036D9889-4C72-2FCC-0B90-BB6BAD4B192E}"/>
              </a:ext>
            </a:extLst>
          </xdr:cNvPr>
          <xdr:cNvPicPr preferRelativeResize="0">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xdr:blipFill>
        <xdr:spPr>
          <a:xfrm>
            <a:off x="3438688" y="10868620"/>
            <a:ext cx="1393868" cy="555078"/>
          </a:xfrm>
          <a:prstGeom prst="rect">
            <a:avLst/>
          </a:prstGeom>
          <a:ln>
            <a:noFill/>
          </a:ln>
        </xdr:spPr>
      </xdr:pic>
      <xdr:pic>
        <xdr:nvPicPr>
          <xdr:cNvPr id="43" name="Grafik 42">
            <a:extLst>
              <a:ext uri="{FF2B5EF4-FFF2-40B4-BE49-F238E27FC236}">
                <a16:creationId xmlns:a16="http://schemas.microsoft.com/office/drawing/2014/main" id="{80CABA16-FB7E-2410-AE35-CBA99BDA9117}"/>
              </a:ext>
            </a:extLst>
          </xdr:cNvPr>
          <xdr:cNvPicPr preferRelativeResize="0">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xdr:blipFill>
        <xdr:spPr>
          <a:xfrm>
            <a:off x="4837273" y="10773399"/>
            <a:ext cx="1398582" cy="730692"/>
          </a:xfrm>
          <a:prstGeom prst="rect">
            <a:avLst/>
          </a:prstGeom>
          <a:ln>
            <a:noFill/>
          </a:ln>
        </xdr:spPr>
      </xdr:pic>
      <xdr:pic>
        <xdr:nvPicPr>
          <xdr:cNvPr id="45" name="Grafik 44">
            <a:extLst>
              <a:ext uri="{FF2B5EF4-FFF2-40B4-BE49-F238E27FC236}">
                <a16:creationId xmlns:a16="http://schemas.microsoft.com/office/drawing/2014/main" id="{2623383A-75EE-05F4-6F62-49A2BF78D8B5}"/>
              </a:ext>
            </a:extLst>
          </xdr:cNvPr>
          <xdr:cNvPicPr preferRelativeResize="0">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xdr:blipFill>
        <xdr:spPr>
          <a:xfrm>
            <a:off x="6195457" y="10804191"/>
            <a:ext cx="1546068" cy="663168"/>
          </a:xfrm>
          <a:prstGeom prst="rect">
            <a:avLst/>
          </a:prstGeom>
          <a:ln>
            <a:noFill/>
          </a:ln>
        </xdr:spPr>
      </xdr:pic>
      <xdr:pic>
        <xdr:nvPicPr>
          <xdr:cNvPr id="52" name="Grafik 51">
            <a:extLst>
              <a:ext uri="{FF2B5EF4-FFF2-40B4-BE49-F238E27FC236}">
                <a16:creationId xmlns:a16="http://schemas.microsoft.com/office/drawing/2014/main" id="{E0052DE5-31E2-2CCB-4233-696D2188E8C0}"/>
              </a:ext>
            </a:extLst>
          </xdr:cNvPr>
          <xdr:cNvPicPr preferRelativeResize="0">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xdr:blipFill>
        <xdr:spPr>
          <a:xfrm>
            <a:off x="2033776" y="10754717"/>
            <a:ext cx="1387663" cy="787150"/>
          </a:xfrm>
          <a:prstGeom prst="rect">
            <a:avLst/>
          </a:prstGeom>
          <a:ln>
            <a:noFill/>
          </a:ln>
        </xdr:spPr>
      </xdr:pic>
      <xdr:pic>
        <xdr:nvPicPr>
          <xdr:cNvPr id="56" name="Grafik 55">
            <a:extLst>
              <a:ext uri="{FF2B5EF4-FFF2-40B4-BE49-F238E27FC236}">
                <a16:creationId xmlns:a16="http://schemas.microsoft.com/office/drawing/2014/main" id="{45C464F4-B460-1874-FB54-62711DEE17A0}"/>
              </a:ext>
            </a:extLst>
          </xdr:cNvPr>
          <xdr:cNvPicPr preferRelativeResize="0">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xdr:blipFill>
        <xdr:spPr>
          <a:xfrm>
            <a:off x="632476" y="10730137"/>
            <a:ext cx="1394245" cy="812138"/>
          </a:xfrm>
          <a:prstGeom prst="rect">
            <a:avLst/>
          </a:prstGeom>
          <a:ln>
            <a:noFill/>
          </a:ln>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6E8953-4B82-4A45-AE8B-31F68E11ABC5}" name="Tab_Gliederungselemente" displayName="Tab_Gliederungselemente" ref="B9:F29" totalsRowShown="0" headerRowDxfId="1322" dataDxfId="1321">
  <tableColumns count="5">
    <tableColumn id="1" xr3:uid="{A3471586-A30F-453E-9E27-91D9FCB77F1A}" name="Lfd. Nr." dataDxfId="1320">
      <calculatedColumnFormula>ROW()-9</calculatedColumnFormula>
    </tableColumn>
    <tableColumn id="2" xr3:uid="{D14A266D-8F36-479B-8639-3507C359C7FB}" name="Bezeichnung Gliederungselement" dataDxfId="1319"/>
    <tableColumn id="3" xr3:uid="{55A5B820-B35D-46BC-B9BF-A0F0DA07A23E}" name="Nettogrundfläche (m2)" dataDxfId="1318"/>
    <tableColumn id="5" xr3:uid="{FA78977B-EC59-45C5-903D-9EEA01197786}" name="Anzahl der Mitarbeitenden (Personen) (optional)" dataDxfId="1317"/>
    <tableColumn id="4" xr3:uid="{C4FF57CA-3FE5-4ADA-9D11-7A467C81C5CB}" name="Adresse (optional)" dataDxfId="1316"/>
  </tableColumns>
  <tableStyleInfo name="Tabelle KBK"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837B6634-5A72-4E55-BBC5-D12FD61DF5E7}" name="Anreise_Besuchende" displayName="Anreise_Besuchende" ref="C21:W42" totalsRowCount="1" headerRowDxfId="854" dataDxfId="853" totalsRowDxfId="852">
  <tableColumns count="21">
    <tableColumn id="20" xr3:uid="{D6AC7871-B561-499A-978C-A5951178C2B6}" name="Sektor_Thema" dataDxfId="851" totalsRowDxfId="20">
      <calculatedColumnFormula>$C$20</calculatedColumnFormula>
    </tableColumn>
    <tableColumn id="3" xr3:uid="{E845A62C-C244-4D12-81ED-2B2F20893813}" name="Zuordnung Gliederungselement (Dropdown)" totalsRowLabel="Summe" dataDxfId="850" totalsRowDxfId="19"/>
    <tableColumn id="4" xr3:uid="{3A983443-5007-4E1F-A9A0-1AD4D3809CC8}" name="Verkehrsmittel (Dropdown)" dataDxfId="849" totalsRowDxfId="18"/>
    <tableColumn id="2" xr3:uid="{AFFD5696-0C52-436B-9011-D70F9D6CA363}" name="Besuchendenanzahl" totalsRowFunction="sum" dataDxfId="848" totalsRowDxfId="17"/>
    <tableColumn id="1" xr3:uid="{D9C75D5E-96E0-476D-BF47-611F6F9CC5F6}" name="Durchschnittliche Distanz _x000a_(km einfach)" dataDxfId="847" totalsRowDxfId="16"/>
    <tableColumn id="15" xr3:uid="{ACEA4F91-2FBB-4679-8D76-57CEFEA9AFFA}" name="PKW-Auslastung:_x000a_Personenzahl/ PKW_x000a_(optionale Angabe)" dataDxfId="846" totalsRowDxfId="15"/>
    <tableColumn id="7" xr3:uid="{278B6EF6-7FDD-49BB-A529-7823EEA34ABC}" name="Datenqualität (Dropdown)" dataDxfId="845" totalsRowDxfId="14"/>
    <tableColumn id="8" xr3:uid="{A9C0C46B-ECBA-42E5-8EC8-D7E2D8B34BD7}" name="Notiz - Datenquelle _x000a_(Text)" dataDxfId="844" totalsRowDxfId="13"/>
    <tableColumn id="9" xr3:uid="{1BC1AD99-445F-4F9A-9E92-9EE1E79B79BC}" name="Notiz - Kommentar _x000a_(Text)" dataDxfId="843" totalsRowDxfId="12"/>
    <tableColumn id="23" xr3:uid="{16333862-AA92-43B5-8BAB-4510A3014761}" name="Ergebnis [kg CO2e] (vorausgefüllt)" totalsRowFunction="sum" dataDxfId="842" totalsRowDxfId="11">
      <calculatedColumnFormula>IF(ISBLANK(Anreise_Besuchende[[#This Row],[Besuchendenanzahl]]),"", SUM(Anreise_Besuchende[[#This Row],[Scope 1 CO2e '[kg CO2e']]:[Scope 3 CO2e '[kg CO2e']]]))</calculatedColumnFormula>
    </tableColumn>
    <tableColumn id="14" xr3:uid="{95FEB4AD-2CAC-4338-AFFB-A73495088047}" name="Nicht-CO2-Effekte [kg CO2e]_x000a_(vorausgefüllt)" totalsRowFunction="sum" dataDxfId="21" totalsRowDxfId="10">
      <calculatedColumnFormula>IF(OR(ISBLANK(Anreise_Besuchende[[#This Row],[Besuchendenanzahl]]),Anreise_Besuchende[[#This Row],[Scope 3 Ergebnis Nicht-CO2 '[kg CO2e']]]=0),"",Anreise_Besuchende[[#This Row],[Scope 3 Ergebnis Nicht-CO2 '[kg CO2e']]])</calculatedColumnFormula>
    </tableColumn>
    <tableColumn id="22" xr3:uid="{60DB7426-0190-4BD3-ABE9-15E65959F287}" name="Thema_Bezeichung" dataDxfId="841" totalsRowDxfId="9">
      <calculatedColumnFormula>IF(ISBLANK(Anreise_Besuchende[[#This Row],[Verkehrsmittel (Dropdown)]]),"",CONCATENATE(Anreise_Besuchende[[#This Row],[Sektor_Thema]]," - ",Anreise_Besuchende[[#This Row],[Verkehrsmittel (Dropdown)]]))</calculatedColumnFormula>
    </tableColumn>
    <tableColumn id="5" xr3:uid="{3DB83F97-6CCF-45A5-9AD1-A1272DEA7D3C}" name="PKW - Auslastung angegeben?" dataDxfId="840" totalsRowDxfId="8">
      <calculatedColumnFormula>IF(ISBLANK(Anreise_Besuchende[[#This Row],[Verkehrsmittel (Dropdown)]]),"",AND(ISNUMBER(SEARCH("PKW",Anreise_Besuchende[[#This Row],[Verkehrsmittel (Dropdown)]])),ISNUMBER(Anreise_Besuchende[[#This Row],[PKW-Auslastung:
Personenzahl/ PKW
(optionale Angabe)]])))</calculatedColumnFormula>
    </tableColumn>
    <tableColumn id="10" xr3:uid="{F007275A-E6D2-42C5-8928-0B0B486C2E9E}" name="EF Scope 1 CO2e_x000a_(kg CO2e/Einheit)" dataDxfId="839" totalsRowDxfId="7">
      <calculatedColumnFormula>IFERROR(VLOOKUP(Anreise_Besuchende[[#This Row],[Thema_Bezeichung]],EFs_Besuchende[],5,FALSE),"")</calculatedColumnFormula>
    </tableColumn>
    <tableColumn id="11" xr3:uid="{4E704D55-5698-462C-A4D3-15A6BE513911}" name="EF Scope 2 CO2e_x000a_(kg CO2e/Einheit)" dataDxfId="838" totalsRowDxfId="6">
      <calculatedColumnFormula>IFERROR(VLOOKUP(Anreise_Besuchende[[#This Row],[Thema_Bezeichung]],EFs_Besuchende[],6,FALSE),"")</calculatedColumnFormula>
    </tableColumn>
    <tableColumn id="12" xr3:uid="{9EDF4FAA-2EEA-4BA7-A200-F31E1E90000C}" name="EF Scope 3 CO2e_x000a_(kg CO2e/Einheit)" dataDxfId="837" totalsRowDxfId="5">
      <calculatedColumnFormula>IF(Anreise_Besuchende[[#This Row],[PKW - Auslastung angegeben?]]=TRUE,IFERROR((VLOOKUP(Anreise_Besuchende[[#This Row],[Thema_Bezeichung]],EFs_Besuchende[],7,FALSE)*VLOOKUP(Anreise_Besuchende[[#This Row],[Thema_Bezeichung]],EFs_Besuchende[],9,FALSE)/Anreise_Besuchende[[#This Row],[PKW-Auslastung:
Personenzahl/ PKW
(optionale Angabe)]]),""),IF(Anreise_Besuchende[[#This Row],[PKW - Auslastung angegeben?]]=FALSE,IFERROR(VLOOKUP(Anreise_Besuchende[[#This Row],[Thema_Bezeichung]],EFs_Besuchende[],7,FALSE),""),""))</calculatedColumnFormula>
    </tableColumn>
    <tableColumn id="6" xr3:uid="{4C94FDA1-6AB8-4FD4-84E2-734648477E68}" name="Scope 3 EF Nicht-CO2-Effekte [kg CO2e/Einheit]" dataDxfId="836" totalsRowDxfId="4">
      <calculatedColumnFormula>IFERROR(VLOOKUP(Anreise_Besuchende[[#This Row],[Thema_Bezeichung]],EFs_Besuchende[],8,FALSE),"")</calculatedColumnFormula>
    </tableColumn>
    <tableColumn id="17" xr3:uid="{AA2043F3-8821-4C26-A852-9325143B7543}" name="Scope 1 CO2e [kg CO2e]" totalsRowFunction="sum" dataDxfId="835" totalsRowDxfId="3">
      <calculatedColumnFormula>IFERROR(Anreise_Besuchende[[#This Row],[Besuchendenanzahl]]*Anreise_Besuchende[[#This Row],[Durchschnittliche Distanz 
(km einfach)]]*Anreise_Besuchende[[#This Row],[EF Scope 1 CO2e
(kg CO2e/Einheit)]]*2,"")</calculatedColumnFormula>
    </tableColumn>
    <tableColumn id="18" xr3:uid="{31F82E30-8953-45F8-9649-31E446EDFA12}" name="Scope 2 CO2e [kg CO2e]" totalsRowFunction="sum" dataDxfId="834" totalsRowDxfId="2">
      <calculatedColumnFormula>IFERROR(Anreise_Besuchende[[#This Row],[Besuchendenanzahl]]*Anreise_Besuchende[[#This Row],[Durchschnittliche Distanz 
(km einfach)]]*Anreise_Besuchende[[#This Row],[EF Scope 2 CO2e
(kg CO2e/Einheit)]]*2,"")</calculatedColumnFormula>
    </tableColumn>
    <tableColumn id="19" xr3:uid="{303E21BB-4F97-4A81-9F0F-6204F450C930}" name="Scope 3 CO2e [kg CO2e]" totalsRowFunction="sum" dataDxfId="833" totalsRowDxfId="1">
      <calculatedColumnFormula>IFERROR(Anreise_Besuchende[[#This Row],[Besuchendenanzahl]]*Anreise_Besuchende[[#This Row],[Durchschnittliche Distanz 
(km einfach)]]*Anreise_Besuchende[[#This Row],[EF Scope 3 CO2e
(kg CO2e/Einheit)]]*2,"")</calculatedColumnFormula>
    </tableColumn>
    <tableColumn id="13" xr3:uid="{3B6054CD-1051-4F08-A967-EED477FAF35F}" name="Scope 3 Ergebnis Nicht-CO2 [kg CO2e]" totalsRowFunction="sum" dataDxfId="832" totalsRowDxfId="0">
      <calculatedColumnFormula>IFERROR(Anreise_Besuchende[[#This Row],[Besuchendenanzahl]]*Anreise_Besuchende[[#This Row],[Durchschnittliche Distanz 
(km einfach)]]*Anreise_Besuchende[[#This Row],[Scope 3 EF Nicht-CO2-Effekte '[kg CO2e/Einheit']]]*2,"")</calculatedColumnFormula>
    </tableColumn>
  </tableColumns>
  <tableStyleInfo name="BilanzPlus"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FFDAD9F0-6EA3-4F83-8038-D5A27FC5FFC9}" name="IT_Dienstleistungen" displayName="IT_Dienstleistungen" ref="C75:T96" totalsRowCount="1" headerRowDxfId="831" dataDxfId="830" totalsRowDxfId="829">
  <tableColumns count="18">
    <tableColumn id="20" xr3:uid="{F8058855-6DBB-476F-9AD5-2F5CC0A18F6E}" name="Sektor_Thema" dataDxfId="828" totalsRowDxfId="827">
      <calculatedColumnFormula>$C$74</calculatedColumnFormula>
    </tableColumn>
    <tableColumn id="3" xr3:uid="{1F056BB2-C7B9-4530-A497-F00D41195043}" name="Zuordnung Gliederungselement (Dropdown)" totalsRowLabel="Summe" dataDxfId="826" totalsRowDxfId="825"/>
    <tableColumn id="4" xr3:uid="{5FC27D09-4F80-466B-AD7A-9329891641A7}" name="Emissionsquelle/Aktivität (Dropdown)" dataDxfId="824" totalsRowDxfId="823"/>
    <tableColumn id="6" xr3:uid="{6590F027-BC2B-4339-9E9E-E56CB8262737}" name="Wert _x000a_(Zahl)" dataDxfId="822" totalsRowDxfId="821"/>
    <tableColumn id="5" xr3:uid="{E7DD5886-DD64-4546-8579-DE87D7C45AFA}" name="Einheit _x000a_(vorausgefüllt)" dataDxfId="820" totalsRowDxfId="819">
      <calculatedColumnFormula>IFERROR(VLOOKUP(IT_Dienstleistungen[[#This Row],[Thema_Bezeichung]],EFs_IT[],4,FALSE),"")</calculatedColumnFormula>
    </tableColumn>
    <tableColumn id="7" xr3:uid="{B3265010-F96E-4AE9-A0ED-6106C073F4DD}" name="Datenqualität Wert (Dropdown)" dataDxfId="818" totalsRowDxfId="817"/>
    <tableColumn id="8" xr3:uid="{519DDF5B-259C-4237-9530-5D1FFE6D1BEA}" name="Notiz - Datenquelle _x000a_(Text)" dataDxfId="816" totalsRowDxfId="815"/>
    <tableColumn id="9" xr3:uid="{EF934517-B4F6-495A-BBEE-9501ABC8776E}" name="Notiz - Kommentar _x000a_(Text)" dataDxfId="814" totalsRowDxfId="813"/>
    <tableColumn id="23" xr3:uid="{BABA8702-275B-4CE3-9E23-566C5123ED9C}" name="Ergebnis [kg CO2e]_x000a_(vorausgefüllt)" totalsRowFunction="sum" dataDxfId="812" totalsRowDxfId="811">
      <calculatedColumnFormula>IF(ISBLANK(IT_Dienstleistungen[[#This Row],[Wert 
(Zahl)]]),"",SUM(IT_Dienstleistungen[[#This Row],[Scope 1 CO2e '[kg CO2e']]:[Scope 3 CO2e '[kg CO2e']]]))</calculatedColumnFormula>
    </tableColumn>
    <tableColumn id="1" xr3:uid="{A1298EF7-22C5-49E7-8F3B-09D80E4D4808}" name="Spalte1" dataDxfId="810" totalsRowDxfId="809"/>
    <tableColumn id="2" xr3:uid="{9AD16434-F4A2-4A0E-BCEC-79306EEDDB38}" name="Spalte2" dataDxfId="808" totalsRowDxfId="807"/>
    <tableColumn id="22" xr3:uid="{698F7595-1135-4DA5-86EB-4695B85620EB}" name="Thema_Bezeichung" dataDxfId="806" totalsRowDxfId="805">
      <calculatedColumnFormula>IF(ISBLANK(IT_Dienstleistungen[[#This Row],[Emissionsquelle/Aktivität (Dropdown)]]),"",CONCATENATE(IT_Dienstleistungen[[#This Row],[Sektor_Thema]]," - ",IT_Dienstleistungen[[#This Row],[Emissionsquelle/Aktivität (Dropdown)]]))</calculatedColumnFormula>
    </tableColumn>
    <tableColumn id="10" xr3:uid="{935997C2-7F04-4849-88A9-DDB0349CFA9F}" name="EF Scope 1 CO2e_x000a_(kg CO2e/Einheit)" dataDxfId="804" totalsRowDxfId="803">
      <calculatedColumnFormula>IFERROR(VLOOKUP(IT_Dienstleistungen[[#This Row],[Thema_Bezeichung]],EFs_IT[],5,FALSE),"")</calculatedColumnFormula>
    </tableColumn>
    <tableColumn id="11" xr3:uid="{E4930802-7CB4-447C-A48D-EE6ACE3A0A26}" name="EF Scope 2 CO2e_x000a_(kg CO2e/Einheit)" dataDxfId="802" totalsRowDxfId="801">
      <calculatedColumnFormula>IFERROR(VLOOKUP(IT_Dienstleistungen[[#This Row],[Thema_Bezeichung]],EFs_IT[],6,FALSE),"")</calculatedColumnFormula>
    </tableColumn>
    <tableColumn id="12" xr3:uid="{E8C535FB-33AC-4CC6-94BF-5B0847263243}" name="EF Scope 3 CO2e_x000a_(kg CO2e/Einheit)" dataDxfId="800" totalsRowDxfId="799">
      <calculatedColumnFormula>IFERROR(VLOOKUP(IT_Dienstleistungen[[#This Row],[Thema_Bezeichung]],EFs_IT[],7,FALSE),"")</calculatedColumnFormula>
    </tableColumn>
    <tableColumn id="17" xr3:uid="{1DB0BFC9-3E69-4145-BC5D-9CF25B87987F}" name="Scope 1 CO2e [kg CO2e]" totalsRowFunction="sum" dataDxfId="798" totalsRowDxfId="797">
      <calculatedColumnFormula>IFERROR(IT_Dienstleistungen[[#This Row],[Wert 
(Zahl)]]*IT_Dienstleistungen[[#This Row],[EF Scope 1 CO2e
(kg CO2e/Einheit)]],"")</calculatedColumnFormula>
    </tableColumn>
    <tableColumn id="18" xr3:uid="{978E2616-5176-41ED-B7C5-D3F29E17D7C8}" name="Scope 2 CO2e [kg CO2e]" totalsRowFunction="sum" dataDxfId="796" totalsRowDxfId="795">
      <calculatedColumnFormula>IFERROR(IT_Dienstleistungen[[#This Row],[Wert 
(Zahl)]]*IT_Dienstleistungen[[#This Row],[EF Scope 2 CO2e
(kg CO2e/Einheit)]],"")</calculatedColumnFormula>
    </tableColumn>
    <tableColumn id="19" xr3:uid="{96A594A5-6A00-486C-B38C-6E1000F21274}" name="Scope 3 CO2e [kg CO2e]" totalsRowFunction="sum" dataDxfId="794" totalsRowDxfId="793">
      <calculatedColumnFormula>IFERROR(IT_Dienstleistungen[[#This Row],[Wert 
(Zahl)]]*IT_Dienstleistungen[[#This Row],[EF Scope 3 CO2e
(kg CO2e/Einheit)]],"")</calculatedColumnFormula>
    </tableColumn>
  </tableColumns>
  <tableStyleInfo name="BilanzPlus"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D022181C-3071-40B4-9498-3EF075105C39}" name="Relevante_Stoffströme" displayName="Relevante_Stoffströme" ref="C102:V123" totalsRowCount="1" headerRowDxfId="792" dataDxfId="791" totalsRowDxfId="790">
  <tableColumns count="20">
    <tableColumn id="20" xr3:uid="{010C213B-69E0-4C8B-84AC-85F3C117352D}" name="Sektor_Thema" dataDxfId="789" totalsRowDxfId="788">
      <calculatedColumnFormula>$C$101</calculatedColumnFormula>
    </tableColumn>
    <tableColumn id="3" xr3:uid="{464AE0F8-C5DC-4C76-AEFB-E4D975393214}" name="Zuordnung Gliederungselement (Dropdown)" totalsRowLabel="Summe" dataDxfId="787" totalsRowDxfId="786"/>
    <tableColumn id="4" xr3:uid="{D607C36F-C1DA-46F7-9F2F-8050EB3A0454}" name="Emissionsquelle/Aktivität (Dropdown)" dataDxfId="785" totalsRowDxfId="784"/>
    <tableColumn id="6" xr3:uid="{42520C6F-D51D-4FE3-87B0-B20E95B84B0E}" name="Wert _x000a_(Zahl)" dataDxfId="783" totalsRowDxfId="782"/>
    <tableColumn id="5" xr3:uid="{CBD27CF2-52E3-4E92-8962-541F276A96A4}" name="Einheit _x000a_(vorausgefüllt)" dataDxfId="781" totalsRowDxfId="780">
      <calculatedColumnFormula>IFERROR(VLOOKUP(Relevante_Stoffströme[[#This Row],[Thema_Bezeichung]],EFs_3135[],4,FALSE),"")</calculatedColumnFormula>
    </tableColumn>
    <tableColumn id="7" xr3:uid="{1161F23B-2DB4-4D76-8A3F-E73D26A0C353}" name="Datenqualität Wert (Dropdown)" dataDxfId="779" totalsRowDxfId="778"/>
    <tableColumn id="8" xr3:uid="{FACEB708-BC2E-4082-ADD3-BC3ADA771E4C}" name="Notiz - Datenquelle _x000a_(Text)" dataDxfId="777" totalsRowDxfId="776"/>
    <tableColumn id="9" xr3:uid="{3B855D72-B6F8-428D-A9FB-582991A16C68}" name="Notiz - Kommentar _x000a_(Text)" dataDxfId="775" totalsRowDxfId="774"/>
    <tableColumn id="26" xr3:uid="{D75BFABF-F1E6-4F06-8F76-131DCA5A0040}" name="Ergebnis [kg CO2e]_x000a_(vorausgefüllt)" totalsRowFunction="sum" dataDxfId="773" totalsRowDxfId="772">
      <calculatedColumnFormula>IF(ISBLANK(Relevante_Stoffströme[[#This Row],[Wert 
(Zahl)]]),"",SUM(Relevante_Stoffströme[[#This Row],[Scope 1 CO2e '[kg CO2e']]:[Scope 3.5 CO2e '[kg CO2e']]]))</calculatedColumnFormula>
    </tableColumn>
    <tableColumn id="2" xr3:uid="{3029AA8F-BC4C-45F4-A17F-8B811FCA1D12}" name="Spalte1" dataDxfId="771" totalsRowDxfId="770"/>
    <tableColumn id="14" xr3:uid="{0EC90AA2-E44E-4BEE-B2F6-6FA663C8CC83}" name="Spalte2" dataDxfId="769" totalsRowDxfId="768"/>
    <tableColumn id="13" xr3:uid="{53B555E6-D002-4E01-A94A-EFE290B8FCA0}" name="Thema_Bezeichung" dataDxfId="767" totalsRowDxfId="766">
      <calculatedColumnFormula>IF(ISBLANK(Relevante_Stoffströme[[#This Row],[Emissionsquelle/Aktivität (Dropdown)]]),"",CONCATENATE(Relevante_Stoffströme[[#This Row],[Sektor_Thema]]," - ",Relevante_Stoffströme[[#This Row],[Emissionsquelle/Aktivität (Dropdown)]]))</calculatedColumnFormula>
    </tableColumn>
    <tableColumn id="10" xr3:uid="{F64CFCA6-D48A-4ECA-8815-673E84EEE6EE}" name="EF Scope 1 CO2e_x000a_(kg CO2e/Einheit)" dataDxfId="765" totalsRowDxfId="764">
      <calculatedColumnFormula>IFERROR(VLOOKUP(Relevante_Stoffströme[[#This Row],[Thema_Bezeichung]],EFs_3135[],5,FALSE),"")</calculatedColumnFormula>
    </tableColumn>
    <tableColumn id="11" xr3:uid="{0B51B982-1EBC-4334-AE66-EA9D7ACA642D}" name="EF Scope 2 CO2e_x000a_(kg CO2e/Einheit)" dataDxfId="763" totalsRowDxfId="762">
      <calculatedColumnFormula>IFERROR(VLOOKUP(Relevante_Stoffströme[[#This Row],[Thema_Bezeichung]],EFs_3135[],6,FALSE),"")</calculatedColumnFormula>
    </tableColumn>
    <tableColumn id="12" xr3:uid="{A8D398BF-CCBD-40FA-9D48-2B2ADAE54052}" name="EF Scope 3.1 CO2e_x000a_(kg CO2e/Einheit)" dataDxfId="761" totalsRowDxfId="760">
      <calculatedColumnFormula>IFERROR(VLOOKUP(Relevante_Stoffströme[[#This Row],[Thema_Bezeichung]],EFs_3135[],7,FALSE),"")</calculatedColumnFormula>
    </tableColumn>
    <tableColumn id="1" xr3:uid="{DBC4B2E4-2013-416B-99FB-0261FB62762C}" name="EF Scope 3.5 CO2e_x000a_(kg CO2e/Einheit)2" dataDxfId="759" totalsRowDxfId="758">
      <calculatedColumnFormula>IFERROR(VLOOKUP(Relevante_Stoffströme[[#This Row],[Thema_Bezeichung]],EFs_3135[],8,FALSE),"")</calculatedColumnFormula>
    </tableColumn>
    <tableColumn id="16" xr3:uid="{BB0AEEC5-E97E-4443-9A6B-95AFE55350AC}" name="Scope 1 CO2e [kg CO2e]" totalsRowFunction="sum" dataDxfId="757" totalsRowDxfId="756">
      <calculatedColumnFormula>IFERROR(Relevante_Stoffströme[[#This Row],[Wert 
(Zahl)]]*Relevante_Stoffströme[[#This Row],[EF Scope 1 CO2e
(kg CO2e/Einheit)]],"")</calculatedColumnFormula>
    </tableColumn>
    <tableColumn id="17" xr3:uid="{11B23FD6-DEA8-4178-9C2E-26E152F6F921}" name="Scope 2 CO2e [kg CO2e]" totalsRowFunction="sum" dataDxfId="755" totalsRowDxfId="754">
      <calculatedColumnFormula>IFERROR(Relevante_Stoffströme[[#This Row],[Wert 
(Zahl)]]*Relevante_Stoffströme[[#This Row],[EF Scope 2 CO2e
(kg CO2e/Einheit)]],"")</calculatedColumnFormula>
    </tableColumn>
    <tableColumn id="18" xr3:uid="{C0BB70FD-A98B-4B0D-AB7F-E46A16FA33C6}" name="Scope 3.1 CO2e [kg CO2e]" totalsRowFunction="sum" dataDxfId="753" totalsRowDxfId="752">
      <calculatedColumnFormula>IFERROR(Relevante_Stoffströme[[#This Row],[Wert 
(Zahl)]]*Relevante_Stoffströme[[#This Row],[EF Scope 3.1 CO2e
(kg CO2e/Einheit)]],"")</calculatedColumnFormula>
    </tableColumn>
    <tableColumn id="23" xr3:uid="{2D49A2D5-7566-4884-A6D9-D3C45FCAFFEA}" name="Scope 3.5 CO2e [kg CO2e]" totalsRowFunction="sum" dataDxfId="751" totalsRowDxfId="750">
      <calculatedColumnFormula>IFERROR(Relevante_Stoffströme[[#This Row],[Wert 
(Zahl)]]*Relevante_Stoffströme[[#This Row],[EF Scope 3.5 CO2e
(kg CO2e/Einheit)2]],"")</calculatedColumnFormula>
    </tableColumn>
  </tableColumns>
  <tableStyleInfo name="BilanzPlus"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16E2EEFE-76D7-49D9-BEF4-4AA783BF4747}" name="Medien" displayName="Medien" ref="C48:T69" totalsRowCount="1" headerRowDxfId="749" dataDxfId="748" totalsRowDxfId="747">
  <tableColumns count="18">
    <tableColumn id="20" xr3:uid="{CC50472D-91D4-4F61-9F4B-7F6A70C97073}" name="Sektor_Thema" dataDxfId="746" totalsRowDxfId="745">
      <calculatedColumnFormula>$C$47</calculatedColumnFormula>
    </tableColumn>
    <tableColumn id="3" xr3:uid="{775BE893-0EFD-416B-B428-71DB4B88F5A7}" name="Zuordnung Gliederungselement (Dropdown)" totalsRowLabel="Summe" dataDxfId="744" totalsRowDxfId="743"/>
    <tableColumn id="4" xr3:uid="{EFACC0F6-FA21-45FB-BBD2-ED9174469238}" name="Emissionsquelle/Aktivität (Dropdown)" dataDxfId="742" totalsRowDxfId="741"/>
    <tableColumn id="6" xr3:uid="{8DAAD4E6-860D-4642-9D00-0A4D9654A87A}" name="Wert _x000a_(Zahl)" dataDxfId="740" totalsRowDxfId="739"/>
    <tableColumn id="5" xr3:uid="{4362604D-888D-4B23-91B3-AE8452F2D609}" name="Einheit _x000a_(vorausgefüllt)" dataDxfId="738" totalsRowDxfId="737">
      <calculatedColumnFormula>IFERROR(VLOOKUP(Medien[[#This Row],[Thema_Bezeichung]],EFs_Medien[],4,FALSE),"")</calculatedColumnFormula>
    </tableColumn>
    <tableColumn id="7" xr3:uid="{80795E37-1F2F-4089-89C2-C8D0BE4BB1E3}" name="Datenqualität Wert (Dropdown)" dataDxfId="736" totalsRowDxfId="735"/>
    <tableColumn id="8" xr3:uid="{A72F50DE-3D62-463D-B6BF-FD400DADF942}" name="Notiz - Datenquelle _x000a_(Text)" dataDxfId="734" totalsRowDxfId="733"/>
    <tableColumn id="9" xr3:uid="{3EE3F8B1-9ED2-4D22-A916-DBD04741C131}" name="Notiz - Kommentar _x000a_(Text)" dataDxfId="732" totalsRowDxfId="731"/>
    <tableColumn id="24" xr3:uid="{EEF6C3E4-A50A-4A13-81C3-3A2A48CA0FF6}" name="Ergebnis [kg CO2e]_x000a_(vorausgefüllt)" totalsRowFunction="sum" dataDxfId="730" totalsRowDxfId="729">
      <calculatedColumnFormula>IF(ISBLANK(Medien[[#This Row],[Wert 
(Zahl)]]),"", SUM(Medien[[#This Row],[Scope 1 CO2e '[kg CO2e']]:[Scope 3 CO2e '[kg CO2e']]]))</calculatedColumnFormula>
    </tableColumn>
    <tableColumn id="1" xr3:uid="{409C69A3-6752-4BEC-9C4E-0460DD432896}" name="Spalte1" dataDxfId="728" totalsRowDxfId="727"/>
    <tableColumn id="2" xr3:uid="{CDD07342-0EF9-4725-8659-274FC9C1012F}" name="Spalte2" dataDxfId="726" totalsRowDxfId="725"/>
    <tableColumn id="25" xr3:uid="{85C5AD0B-9F84-4E42-814E-92B99C4FB264}" name="Thema_Bezeichung" dataDxfId="724" totalsRowDxfId="723">
      <calculatedColumnFormula>IF(ISBLANK(Medien[[#This Row],[Emissionsquelle/Aktivität (Dropdown)]]),"",CONCATENATE(Medien[[#This Row],[Sektor_Thema]]," - ",Medien[[#This Row],[Emissionsquelle/Aktivität (Dropdown)]]))</calculatedColumnFormula>
    </tableColumn>
    <tableColumn id="10" xr3:uid="{A3F82E95-D122-4B4A-89C2-087284DC19D5}" name="EF Scope 1 CO2e_x000a_(kg CO2e/Einheit)" dataDxfId="722" totalsRowDxfId="721">
      <calculatedColumnFormula>IFERROR(VLOOKUP(Medien[[#This Row],[Thema_Bezeichung]],EFs_Medien[],5,FALSE),"")</calculatedColumnFormula>
    </tableColumn>
    <tableColumn id="11" xr3:uid="{C49FD710-F7A0-4605-B1CC-39318AE4ED10}" name="EF Scope 2 CO2e_x000a_(kg CO2e/Einheit)" dataDxfId="720" totalsRowDxfId="719">
      <calculatedColumnFormula>IFERROR(VLOOKUP(Medien[[#This Row],[Thema_Bezeichung]],EFs_Medien[],6,FALSE),"")</calculatedColumnFormula>
    </tableColumn>
    <tableColumn id="12" xr3:uid="{F19E3172-26A3-4D4C-8A7C-9CB3D6415CFE}" name="EF Scope 3 CO2e_x000a_(kg CO2e/Einheit)" dataDxfId="718" totalsRowDxfId="717">
      <calculatedColumnFormula>IFERROR(VLOOKUP(Medien[[#This Row],[Thema_Bezeichung]],EFs_Medien[],7,FALSE),"")</calculatedColumnFormula>
    </tableColumn>
    <tableColumn id="16" xr3:uid="{2735E123-F6B2-4F6C-B12C-2EB339AFB7AB}" name="Scope 1 CO2e [kg CO2e]" totalsRowFunction="sum" dataDxfId="716" totalsRowDxfId="715">
      <calculatedColumnFormula>IFERROR(Medien[[#This Row],[Wert 
(Zahl)]]*Medien[[#This Row],[EF Scope 1 CO2e
(kg CO2e/Einheit)]],"")</calculatedColumnFormula>
    </tableColumn>
    <tableColumn id="17" xr3:uid="{13E39ACD-CE3C-4BE7-AD33-29042EF5C215}" name="Scope 2 CO2e [kg CO2e]" totalsRowFunction="sum" dataDxfId="714" totalsRowDxfId="713">
      <calculatedColumnFormula>IFERROR(Medien[[#This Row],[Wert 
(Zahl)]]*Medien[[#This Row],[EF Scope 2 CO2e
(kg CO2e/Einheit)]],"")</calculatedColumnFormula>
    </tableColumn>
    <tableColumn id="18" xr3:uid="{A51C863D-006E-4A67-9758-2D73D12992D6}" name="Scope 3 CO2e [kg CO2e]" totalsRowFunction="sum" dataDxfId="712" totalsRowDxfId="711">
      <calculatedColumnFormula>IFERROR(Medien[[#This Row],[Wert 
(Zahl)]]*Medien[[#This Row],[EF Scope 3 CO2e
(kg CO2e/Einheit)]],"")</calculatedColumnFormula>
    </tableColumn>
  </tableColumns>
  <tableStyleInfo name="BilanzPlus"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A5C9F9-143A-4C72-BA39-877545429F0E}" name="Papierverbrauch_Büro" displayName="Papierverbrauch_Büro" ref="C21:F42" totalsRowCount="1" headerRowDxfId="710" dataDxfId="709" totalsRowDxfId="708">
  <tableColumns count="4">
    <tableColumn id="3" xr3:uid="{D6FED258-4994-41DE-96A3-678FCA14CAE9}" name="Zuordnung Gliederungselement (Dropdown)" totalsRowLabel="Summe" dataDxfId="707" totalsRowDxfId="706"/>
    <tableColumn id="6" xr3:uid="{076F30D1-C62F-413F-8D12-5C9C92D4FDE1}" name="Papierverbrauch _x000a_(Anzahl Blatt Papier)" totalsRowFunction="sum" dataDxfId="705" totalsRowDxfId="704"/>
    <tableColumn id="8" xr3:uid="{6279950A-A7C4-485E-841D-CF19B37F7BFB}" name="Notiz - Datenquelle _x000a_(Text)" dataDxfId="703" totalsRowDxfId="702"/>
    <tableColumn id="9" xr3:uid="{E70A5C68-3559-4785-B4B6-7DDFDF978025}" name="Notiz - Kommentar _x000a_(Text)" dataDxfId="701" totalsRowDxfId="700"/>
  </tableColumns>
  <tableStyleInfo name="Beyond Carbon"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4E804D3-AFCC-4742-ADBD-B7B98BE324EB}" name="Druck_und_Werbematerialien" displayName="Druck_und_Werbematerialien" ref="C48:F69" totalsRowCount="1" headerRowDxfId="699" dataDxfId="698" totalsRowDxfId="697">
  <tableColumns count="4">
    <tableColumn id="3" xr3:uid="{AF36FEB5-21B4-43BA-A085-9DB7BBFD40DA}" name="Zuordnung Gliederungselement (Dropdown)" totalsRowLabel="Summe" dataDxfId="696" totalsRowDxfId="695"/>
    <tableColumn id="6" xr3:uid="{C88554F0-2C28-48DD-A601-B784E494C9A3}" name="Druck- und Werbematerialien_x000a_(Kilogramm)" totalsRowFunction="sum" dataDxfId="694" totalsRowDxfId="693"/>
    <tableColumn id="8" xr3:uid="{820DBBBB-D5C9-4E7F-A6E6-1D7200C583A8}" name="Notiz - Datenquelle _x000a_(Text)" dataDxfId="692" totalsRowDxfId="691"/>
    <tableColumn id="9" xr3:uid="{CF101DC5-BC74-4A88-9B01-8505F1F14FFD}" name="Notiz - Kommentar _x000a_(Text)" dataDxfId="690" totalsRowDxfId="689"/>
  </tableColumns>
  <tableStyleInfo name="Beyond Carbon"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4D9A84-AC08-4313-9161-72B58061557C}" name="Verpackungsmaterialien" displayName="Verpackungsmaterialien" ref="C75:F96" totalsRowCount="1" headerRowDxfId="688" dataDxfId="687" totalsRowDxfId="686">
  <tableColumns count="4">
    <tableColumn id="3" xr3:uid="{BB9E511C-F85B-4988-981A-7EBBC31F5052}" name="Zuordnung Gliederungselement (Dropdown)" totalsRowLabel="Summe" dataDxfId="685" totalsRowDxfId="684"/>
    <tableColumn id="6" xr3:uid="{CC833ED1-24F9-45FA-9E5A-8579A8C5A235}" name="Vepackungsmaterialien _x000a_(Kilogramm)" totalsRowFunction="sum" dataDxfId="683" totalsRowDxfId="682"/>
    <tableColumn id="8" xr3:uid="{46E67249-F30C-4DCE-B53D-5E933ED6223B}" name="Notiz - Datenquelle _x000a_(Text)" dataDxfId="681" totalsRowDxfId="680"/>
    <tableColumn id="9" xr3:uid="{2701B6F0-344F-4588-AEFC-923FB44B3116}" name="Notiz - Kommentar _x000a_(Text)" dataDxfId="679" totalsRowDxfId="678"/>
  </tableColumns>
  <tableStyleInfo name="Beyond Carbon"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736D215-D23A-4B47-BF85-90CF1A806476}" name="Wasserverbrauch" displayName="Wasserverbrauch" ref="C102:F123" totalsRowCount="1" headerRowDxfId="677" dataDxfId="676" totalsRowDxfId="675">
  <tableColumns count="4">
    <tableColumn id="3" xr3:uid="{7720DC68-4624-48ED-9F2D-91F2640FC27E}" name="Zuordnung Gliederungselement (Dropdown)" totalsRowLabel="Summe" dataDxfId="674" totalsRowDxfId="673"/>
    <tableColumn id="6" xr3:uid="{59EC6CE7-BA03-4EA3-86C2-28375563EF4A}" name="Wasserverbrauch (m3)" totalsRowFunction="sum" dataDxfId="672" totalsRowDxfId="671"/>
    <tableColumn id="8" xr3:uid="{7AE03AB6-8C3E-48B7-99F9-A707C3A1A66C}" name="Notiz - Datenquelle _x000a_(Text)" dataDxfId="670" totalsRowDxfId="669"/>
    <tableColumn id="9" xr3:uid="{4302CB4C-5188-4876-B800-71098DA90B33}" name="Notiz - Kommentar _x000a_(Text)" dataDxfId="668" totalsRowDxfId="667"/>
  </tableColumns>
  <tableStyleInfo name="Beyond Carbon"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0B35851-F011-44DD-A82F-415ED44CF680}" name="EFs_3135" displayName="EFs_3135" ref="C285:S317" totalsRowShown="0" headerRowDxfId="666" dataDxfId="665">
  <autoFilter ref="C285:S317" xr:uid="{D0B35851-F011-44DD-A82F-415ED44CF680}"/>
  <tableColumns count="17">
    <tableColumn id="13" xr3:uid="{70820B2A-03AB-421F-BAD0-F664790DDC53}" name="Sektor_Thema" dataDxfId="664">
      <calculatedColumnFormula>CONCATENATE(EFs_3135[[#This Row],[Thema]]," - ",EFs_3135[[#This Row],[Bezeichnung]])</calculatedColumnFormula>
    </tableColumn>
    <tableColumn id="1" xr3:uid="{F6D2847D-9175-4457-A983-C12AFCFD53C3}" name="Thema" dataDxfId="663">
      <calculatedColumnFormula>"Relevante_Stoffströme"</calculatedColumnFormula>
    </tableColumn>
    <tableColumn id="3" xr3:uid="{6A6D51A0-1BF5-4A55-B305-FF693DBB808D}" name="Bezeichnung" dataDxfId="662"/>
    <tableColumn id="4" xr3:uid="{D76300D6-85E6-418A-8A81-D1EEC253DCBF}" name="Erfassungseinheit" dataDxfId="661"/>
    <tableColumn id="6" xr3:uid="{FB529586-A8F6-4A18-AA95-D6F04CB2A789}" name="EF Scope 1 CO2e_x000a_(kg CO2e/Einheit)" dataDxfId="660"/>
    <tableColumn id="7" xr3:uid="{9F63F0CC-DDD6-4490-8D05-FF62EA7E82DB}" name="EF Scope 2 CO2e_x000a_(kg CO2e/Einheit)" dataDxfId="659"/>
    <tableColumn id="8" xr3:uid="{D4167E66-A618-4E32-88FA-91A177029172}" name="EF Scope 3.1 CO2e Einkauf_x000a_(kg CO2e/Einheit)" dataDxfId="658"/>
    <tableColumn id="15" xr3:uid="{81DA52BA-1A63-4812-9FB4-F894232BAFB2}" name="EF Scope 3.5 CO2e Abfall_x000a_(kg CO2e/Einheit)" dataDxfId="657"/>
    <tableColumn id="9" xr3:uid="{D285AE36-E106-4294-BC36-B42B27A9BD23}" name="Quelle Scope 1" dataDxfId="656"/>
    <tableColumn id="10" xr3:uid="{C8F958C5-50A6-406D-9A02-F1265CF1F0DD}" name="Quelle Scope 2" dataDxfId="655"/>
    <tableColumn id="11" xr3:uid="{3450DFC7-2498-438A-85B9-CB8AE74D84E3}" name="Quelle Scope 3.1" dataDxfId="654"/>
    <tableColumn id="16" xr3:uid="{6591570F-60A0-4114-9904-E22E31D43B1F}" name="Quelle Scope 3.5" dataDxfId="653"/>
    <tableColumn id="14" xr3:uid="{5733EB42-29C6-4990-B6EF-E9260FBBC165}" name="Kommentar" dataDxfId="652"/>
    <tableColumn id="2" xr3:uid="{D8444408-CD9F-4A6A-84BD-82CFEEC91BD8}" name="Scope 1 Kategorie" dataDxfId="651">
      <calculatedColumnFormula>"-"</calculatedColumnFormula>
    </tableColumn>
    <tableColumn id="5" xr3:uid="{A2CCAC55-DF28-49A6-A8B2-3E6ACC6191C2}" name="Scope 2 Kategorie" dataDxfId="650">
      <calculatedColumnFormula>"-"</calculatedColumnFormula>
    </tableColumn>
    <tableColumn id="17" xr3:uid="{3CB0B126-EDF6-4A10-9418-373C89394454}" name="Scope 3 Kategorie" dataDxfId="649">
      <calculatedColumnFormula>"Kat. 1"</calculatedColumnFormula>
    </tableColumn>
    <tableColumn id="12" xr3:uid="{CD91C930-228B-4288-8DAD-E58A6D0D16AF}" name="Scope 3 Kategorie 2" dataDxfId="648">
      <calculatedColumnFormula>"Kat. 5"</calculatedColumnFormula>
    </tableColumn>
  </tableColumns>
  <tableStyleInfo name="Tabelle KBK"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918B746-29CF-44C1-AD5F-3A3225FD6825}" name="EFs_Wärme" displayName="EFs_Wärme" ref="C8:AI32" totalsRowShown="0" headerRowDxfId="647" dataDxfId="646" tableBorderDxfId="645">
  <tableColumns count="33">
    <tableColumn id="16" xr3:uid="{9BB8DD3B-6532-430F-8895-A689457CDB4B}" name="Sektor_Thema" dataDxfId="644">
      <calculatedColumnFormula>CONCATENATE(EFs_Wärme[[#This Row],[Thema]]," - ",EFs_Wärme[[#This Row],[Bezeichnung]])</calculatedColumnFormula>
    </tableColumn>
    <tableColumn id="1" xr3:uid="{F61CDDED-1C77-40E8-AD64-8AFFE32B0638}" name="Thema" dataDxfId="643">
      <calculatedColumnFormula>"Wärme"</calculatedColumnFormula>
    </tableColumn>
    <tableColumn id="2" xr3:uid="{7E5A0CF4-F872-452F-B59A-679A875CBE8E}" name="Bezeichnung" dataDxfId="642"/>
    <tableColumn id="3" xr3:uid="{F330E863-FF4F-437D-BE4F-4F6094FD1578}" name="Erfassungseinheit" dataDxfId="641"/>
    <tableColumn id="4" xr3:uid="{FC67BF86-9494-4A2C-9577-FE2748ADA8E1}" name="EF Scope 1 CO2e_x000a_(kg CO2e/Einheit)" dataDxfId="640"/>
    <tableColumn id="19" xr3:uid="{1DC56D7F-0A39-4B8B-B98A-8708E189006F}" name="EF Scope 1 CO2_x000a_(kg CO2/Einheit)" dataDxfId="639"/>
    <tableColumn id="18" xr3:uid="{3127F673-87AB-4D66-B181-9CC66272BA80}" name="EF Scope 1 CH4_x000a_(kg CH4/Einheit)" dataDxfId="638"/>
    <tableColumn id="10" xr3:uid="{65714CE1-A740-4DBD-A14D-856E41DDE549}" name="EF Scope 1 N2O_x000a_(kg N2O/Einheit)" dataDxfId="637"/>
    <tableColumn id="27" xr3:uid="{5E564089-0E18-4054-A6C8-E9C946BAE976}" name="EF Scope 1 HFCs_x000a_(kg HFCs/Einheit)" dataDxfId="636"/>
    <tableColumn id="26" xr3:uid="{B97FF7A4-5707-4EAA-8CCC-59E07274DD8D}" name="EF Scope 1 PFCs_x000a_(kg PFCs/Einheit)" dataDxfId="635"/>
    <tableColumn id="25" xr3:uid="{77E5CF46-CA7D-4697-8757-A3F126FE3690}" name="EF Scope 1 SF6_x000a_(kg SF6/Einheit)" dataDxfId="634"/>
    <tableColumn id="24" xr3:uid="{3A0B0F00-DA46-46C4-BDDB-922D8D14B501}" name="EF Scope 1 NF3_x000a_(kg NF3/Einheit)" dataDxfId="633"/>
    <tableColumn id="32" xr3:uid="{36FBED13-0DC4-4C2C-8D44-1EED147CED6E}" name="EF Scope 1 Nicht-Kyoto-Gase_x000a_(kg Nicht-Kyoto-Gase/Einheit)" dataDxfId="632"/>
    <tableColumn id="23" xr3:uid="{7F2F6A0D-BCE4-49D2-982C-830F477A508E}" name="EF Scope 1 CO2 biogen_x000a_(kg CO2 /Einheit)" dataDxfId="631"/>
    <tableColumn id="5" xr3:uid="{738EE3E7-068A-45F1-A9DF-D9269B15DEB0}" name="EF Scope 2 CO2e_x000a_(kg CO2e/Einheit)" dataDxfId="630"/>
    <tableColumn id="22" xr3:uid="{BCE10BEC-7507-45DF-8776-A9808FE9B33C}" name="EF Scope 2 CO2_x000a_(kg CO2/Einheit)" dataDxfId="629"/>
    <tableColumn id="21" xr3:uid="{B89E1894-003D-4F63-BBCD-C54228F8343F}" name="EF Scope 2 CH4_x000a_(kg CH4/Einheit)" dataDxfId="628"/>
    <tableColumn id="20" xr3:uid="{EEF72268-2527-4B54-B609-480B7287DFC5}" name="EF Scope 2 N2O_x000a_(kg N2O/Einheit)" dataDxfId="627"/>
    <tableColumn id="31" xr3:uid="{3CD83ABC-D564-4518-90CC-B47F4A5AEC44}" name="EF Scope 2 HFCs_x000a_(kg HFCs/Einheit)" dataDxfId="626"/>
    <tableColumn id="30" xr3:uid="{1E592073-31F8-479D-A012-918C2626138B}" name="EF Scope 2 PFCs_x000a_(kg PFCs/Einheit)" dataDxfId="625"/>
    <tableColumn id="29" xr3:uid="{DA6A9EBF-5628-4191-8CD1-B4F49F8A118C}" name="EF Scope 2 SF6_x000a_(kg SF6/Einheit)" dataDxfId="624"/>
    <tableColumn id="28" xr3:uid="{92CFDA8A-BE81-46A4-B573-37399D7390F8}" name="EF Scope 2 NF3_x000a_(kg NF3/Einheit)" dataDxfId="623"/>
    <tableColumn id="33" xr3:uid="{3F79F564-603C-424C-859A-57C06BCB4E5C}" name="EF Scope 2 Nicht-Kyoto-Gase_x000a_(kg Nicht-Kyoto-Gase/Einheit)" dataDxfId="622"/>
    <tableColumn id="6" xr3:uid="{3D5C1C57-3C65-4FE8-B108-962482238C2F}" name="EF Scope 3 CO2e_x000a_(kg CO2e/Einheit)" dataDxfId="621"/>
    <tableColumn id="7" xr3:uid="{BBCBAAFD-7847-4246-AE63-3AFBF7CC640A}" name="Quelle Scope 1" dataDxfId="620"/>
    <tableColumn id="8" xr3:uid="{99399A44-9013-4898-942D-4BAA3DC031D0}" name="Quelle Scope 2" dataDxfId="619"/>
    <tableColumn id="9" xr3:uid="{AB9FC0E0-A908-4E39-AFAF-9BEDBF068A1D}" name="Quelle Scope 3" dataDxfId="618"/>
    <tableColumn id="17" xr3:uid="{AAC1F8A6-49E1-437C-A6ED-4337AEEA5FBA}" name="Umrechnungsfaktor Heizwert _x000a_[kWh/Standardeinheit]" dataDxfId="617"/>
    <tableColumn id="11" xr3:uid="{FAE11479-903A-424E-97A8-CC8B42332D16}" name="Quelle Umrechnungsfaktor" dataDxfId="616"/>
    <tableColumn id="12" xr3:uid="{CBD4FC6D-FFF3-4DB5-93BF-B8F906FEFDE4}" name="Kommentar" dataDxfId="615"/>
    <tableColumn id="13" xr3:uid="{E1854F03-E7B7-47FB-92BE-6D62FB2A696B}" name="Scope 1 Kategorie" dataDxfId="614">
      <calculatedColumnFormula>"Kat. 1"</calculatedColumnFormula>
    </tableColumn>
    <tableColumn id="14" xr3:uid="{5EBA9626-3116-45D0-B102-423D032D6A26}" name="Scope 2 Kategorie" dataDxfId="613">
      <calculatedColumnFormula>"Kat. 2"</calculatedColumnFormula>
    </tableColumn>
    <tableColumn id="15" xr3:uid="{ED71BA70-6099-4697-B66C-2655F25649C6}" name="Scope 3 Kategorie" dataDxfId="612">
      <calculatedColumnFormula>"Kat. 3"</calculatedColumnFormula>
    </tableColumn>
  </tableColumns>
  <tableStyleInfo name="Tabelle KBK"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15099C4-77DE-4206-A1E7-DD2658897510}" name="Wärme" displayName="Wärme" ref="C28:BT49" totalsRowCount="1" headerRowDxfId="1315" dataDxfId="1314" totalsRowDxfId="1313">
  <tableColumns count="70">
    <tableColumn id="20" xr3:uid="{CE7D7729-6B7F-49F0-BBF4-42C6FCE7FB19}" name="Sektor_Thema" dataDxfId="1312" totalsRowDxfId="1311">
      <calculatedColumnFormula>$C$27</calculatedColumnFormula>
    </tableColumn>
    <tableColumn id="3" xr3:uid="{1026BB01-A592-4EA3-BCD4-744E11DB609B}" name="Zuordnung Gliederungselement (Dropdown)" totalsRowLabel="Summe" dataDxfId="1310" totalsRowDxfId="1309"/>
    <tableColumn id="4" xr3:uid="{A70DACCD-31DC-4926-BB9E-C0570C11EC77}" name="Emissionsquelle/Aktivität (Dropdown)" dataDxfId="1308" totalsRowDxfId="1307"/>
    <tableColumn id="6" xr3:uid="{AFB8A2FD-9878-4A3D-9506-C3CE84EEB6A7}" name="Wert _x000a_(Zahl)" dataDxfId="1306" totalsRowDxfId="1305"/>
    <tableColumn id="5" xr3:uid="{6C028A89-5AD0-486F-8814-51305C03C489}" name="Einheit _x000a_(vorausgefüllt)" dataDxfId="1304" totalsRowDxfId="1303">
      <calculatedColumnFormula>IFERROR(VLOOKUP(Wärme[[#This Row],[Thema_Bezeichung]],EFs_Wärme[],4,FALSE),"")</calculatedColumnFormula>
    </tableColumn>
    <tableColumn id="7" xr3:uid="{4073937B-692F-4120-B91B-44098B048676}" name="Datenqualität Wert (Dropdown)" dataDxfId="1302" totalsRowDxfId="1301"/>
    <tableColumn id="24" xr3:uid="{D503EA05-79F9-4AEC-9C34-E122D8E37FFD}" name="Fernwärme Eigenfaktor Scope 2_x000a_[g CO2e/kWh]_x000a_(falls zutreffend)" dataDxfId="1300" totalsRowDxfId="1299"/>
    <tableColumn id="8" xr3:uid="{B8F797DB-0AA4-490B-A987-FB6D3618A183}" name="Notiz - Datenquelle _x000a_(Text)" dataDxfId="1298" totalsRowDxfId="1297"/>
    <tableColumn id="9" xr3:uid="{FAC83A87-0AD9-429E-8C29-BD6B522E63F1}" name="Notiz - Kommentar _x000a_(Text)" dataDxfId="1296" totalsRowDxfId="1295"/>
    <tableColumn id="26" xr3:uid="{71D92DF3-36F0-456C-A87E-E5F890B22EB4}" name="Ergebnis [kg CO2e] (vorausgefüllt)" totalsRowFunction="sum" dataDxfId="1294" totalsRowDxfId="1293">
      <calculatedColumnFormula>IF(ISBLANK(Wärme[[#This Row],[Wert 
(Zahl)]]),"", SUM(Wärme[[#This Row],[Scope 1 CO2e '[kg CO2e']]:[Scope 3 CO2e '[kg CO2e']]]))</calculatedColumnFormula>
    </tableColumn>
    <tableColumn id="2" xr3:uid="{80AF27ED-773C-4FBD-8862-7A2960440ECD}" name="Spalte1" dataDxfId="1292" totalsRowDxfId="1291"/>
    <tableColumn id="77" xr3:uid="{72D614F4-D9C9-450D-97A4-28ED7155644A}" name="Spalte2" dataDxfId="1290" totalsRowDxfId="1289"/>
    <tableColumn id="1" xr3:uid="{41A26C85-9345-4FC0-8996-D0CD14CB1358}" name="Thema_Bezeichung" dataDxfId="1288" totalsRowDxfId="1287">
      <calculatedColumnFormula>IF(ISBLANK(Wärme[[#This Row],[Emissionsquelle/Aktivität (Dropdown)]]),"",CONCATENATE(Wärme[[#This Row],[Sektor_Thema]]," - ",Wärme[[#This Row],[Emissionsquelle/Aktivität (Dropdown)]]))</calculatedColumnFormula>
    </tableColumn>
    <tableColumn id="38" xr3:uid="{7EB5E176-5BDF-4E79-8CA1-E47DD6400B85}" name="Fernwärme - Eigenfaktor angegeben?" dataDxfId="1286" totalsRowDxfId="1285">
      <calculatedColumnFormula>IF(ISBLANK(Wärme[[#This Row],[Emissionsquelle/Aktivität (Dropdown)]]),"",AND(Wärme[[#This Row],[Emissionsquelle/Aktivität (Dropdown)]]="Fernwärme (Wert Energieversorger)",ISNUMBER(Wärme[[#This Row],[Fernwärme Eigenfaktor Scope 2
'[g CO2e/kWh']
(falls zutreffend)]])))</calculatedColumnFormula>
    </tableColumn>
    <tableColumn id="10" xr3:uid="{13A57235-567B-42DA-AFC0-93346048285B}" name="EF Scope 1 CO2e_x000a_(kg CO2e/Einheit)" dataDxfId="1284" totalsRowDxfId="1283">
      <calculatedColumnFormula>IFERROR(VLOOKUP(Wärme[[#This Row],[Thema_Bezeichung]],EFs_Wärme[],5,FALSE),"")</calculatedColumnFormula>
    </tableColumn>
    <tableColumn id="27" xr3:uid="{30F25BD3-8A08-46F0-BA2B-820C98487F10}" name="EF Scope 1 CO2_x000a_(kg CO2/Einheit)" dataDxfId="1282" totalsRowDxfId="1281">
      <calculatedColumnFormula>IFERROR(VLOOKUP(Wärme[[#This Row],[Thema_Bezeichung]],EFs_Wärme[],6,FALSE),"")</calculatedColumnFormula>
    </tableColumn>
    <tableColumn id="25" xr3:uid="{0C815C42-A849-4F19-B2CF-9F9029EF7CAE}" name="EF Scope 1 CH4_x000a_(kg CH4/Einheit)" dataDxfId="1280" totalsRowDxfId="1279">
      <calculatedColumnFormula>IFERROR(VLOOKUP(Wärme[[#This Row],[Thema_Bezeichung]],EFs_Wärme[],7,FALSE),"")</calculatedColumnFormula>
    </tableColumn>
    <tableColumn id="23" xr3:uid="{9C57261D-DF51-4A03-996A-6D096617A20B}" name="EF Scope 1 N2O_x000a_(kg N2O/Einheit)" dataDxfId="1278" totalsRowDxfId="1277">
      <calculatedColumnFormula>IFERROR(VLOOKUP(Wärme[[#This Row],[Thema_Bezeichung]],EFs_Wärme[],8,FALSE),"")</calculatedColumnFormula>
    </tableColumn>
    <tableColumn id="22" xr3:uid="{94AAA73A-63B1-4BF5-848D-8EFF84ED4D29}" name="EF Scope 1 HFCs_x000a_(kg HFCs/Einheit)" dataDxfId="1276" totalsRowDxfId="1275">
      <calculatedColumnFormula>IFERROR(VLOOKUP(Wärme[[#This Row],[Thema_Bezeichung]],EFs_Wärme[],9,FALSE),"")</calculatedColumnFormula>
    </tableColumn>
    <tableColumn id="21" xr3:uid="{0C505715-5C42-4395-A788-088AA16CBD4C}" name="EF Scope 1 PFCs_x000a_(kg PFCs/Einheit)" dataDxfId="1274" totalsRowDxfId="1273">
      <calculatedColumnFormula>IFERROR(VLOOKUP(Wärme[[#This Row],[Thema_Bezeichung]],EFs_Wärme[],10,FALSE),"")</calculatedColumnFormula>
    </tableColumn>
    <tableColumn id="19" xr3:uid="{3F356F97-4E8F-472D-B28F-71131EC75815}" name="EF Scope 1 SF6_x000a_(kg SF6/Einheit)" dataDxfId="1272" totalsRowDxfId="1271">
      <calculatedColumnFormula>IFERROR(VLOOKUP(Wärme[[#This Row],[Thema_Bezeichung]],EFs_Wärme[],11,FALSE),"")</calculatedColumnFormula>
    </tableColumn>
    <tableColumn id="15" xr3:uid="{EDCC213B-8BA3-4B79-AAB9-D342EE3AC21D}" name="EF Scope 1 NF3_x000a_(kg NF3/Einheit)" dataDxfId="1270" totalsRowDxfId="1269">
      <calculatedColumnFormula>IFERROR(VLOOKUP(Wärme[[#This Row],[Thema_Bezeichung]],EFs_Wärme[],12,FALSE),"")</calculatedColumnFormula>
    </tableColumn>
    <tableColumn id="12" xr3:uid="{0CC8D51C-01BE-4A0D-813C-36182105DE12}" name="EF Scope 1 Nicht-Kyoto-Gase (kg Nicht-Kyoto-Gase/Einheit)" dataDxfId="1268" totalsRowDxfId="1267">
      <calculatedColumnFormula>IFERROR(VLOOKUP(Wärme[[#This Row],[Thema_Bezeichung]],EFs_Wärme[],13,FALSE),"")</calculatedColumnFormula>
    </tableColumn>
    <tableColumn id="14" xr3:uid="{AA363227-6368-458A-B02F-7171EFF1ABD5}" name="EF Scope 1 CO2 biogen_x000a_(kg CO2 /Einheit)" dataDxfId="1266" totalsRowDxfId="1265">
      <calculatedColumnFormula>IFERROR(VLOOKUP(Wärme[[#This Row],[Thema_Bezeichung]],EFs_Wärme[],14,FALSE),"")</calculatedColumnFormula>
    </tableColumn>
    <tableColumn id="11" xr3:uid="{1D074052-E264-473F-840A-06439C0AD81B}" name="EF Scope 2 CO2e_x000a_(kg CO2e/Einheit)" dataDxfId="1264" totalsRowDxfId="1263">
      <calculatedColumnFormula>IF(Wärme[[#This Row],[Fernwärme - Eigenfaktor angegeben?]]=TRUE,Wärme[[#This Row],[Fernwärme Eigenfaktor Scope 2
'[g CO2e/kWh']
(falls zutreffend)]]/1000,IFERROR(VLOOKUP(Wärme[[#This Row],[Thema_Bezeichung]],EFs_Wärme[],15,FALSE),""))</calculatedColumnFormula>
    </tableColumn>
    <tableColumn id="35" xr3:uid="{270197FD-4EC6-45AB-928A-BB86DA8381EA}" name="EF Scope 2 CO2_x000a_(kg CO2/Einheit)" dataDxfId="1262" totalsRowDxfId="1261">
      <calculatedColumnFormula>IFERROR(VLOOKUP(Wärme[[#This Row],[Thema_Bezeichung]],EFs_Wärme[],16,FALSE),"")</calculatedColumnFormula>
    </tableColumn>
    <tableColumn id="34" xr3:uid="{0A43CA98-A894-46B9-931A-8A1A5D74B3F0}" name="EF Scope 2 CH4_x000a_(kg CH4/Einheit)" dataDxfId="1260" totalsRowDxfId="1259">
      <calculatedColumnFormula>IFERROR(VLOOKUP(Wärme[[#This Row],[Thema_Bezeichung]],EFs_Wärme[],17,FALSE),"")</calculatedColumnFormula>
    </tableColumn>
    <tableColumn id="33" xr3:uid="{07F56246-C40B-462F-B1B6-3A133772A37C}" name="EF Scope 2 N2O_x000a_(kg N2O/Einheit)" dataDxfId="1258" totalsRowDxfId="1257">
      <calculatedColumnFormula>IFERROR(VLOOKUP(Wärme[[#This Row],[Thema_Bezeichung]],EFs_Wärme[],18,FALSE),"")</calculatedColumnFormula>
    </tableColumn>
    <tableColumn id="32" xr3:uid="{C2ED6BC7-AA9F-4543-BEF0-9E573358A3C0}" name="EF Scope 2 HFCs_x000a_(kg HFCs/Einheit)" dataDxfId="1256" totalsRowDxfId="1255">
      <calculatedColumnFormula>IFERROR(VLOOKUP(Wärme[[#This Row],[Thema_Bezeichung]],EFs_Wärme[],19,FALSE),"")</calculatedColumnFormula>
    </tableColumn>
    <tableColumn id="31" xr3:uid="{42FDAD6C-DCED-4B35-B108-B8EDECF99BD1}" name="EF Scope 2 PFCs_x000a_(kg PFCs/Einheit)" dataDxfId="1254" totalsRowDxfId="1253">
      <calculatedColumnFormula>IFERROR(VLOOKUP(Wärme[[#This Row],[Thema_Bezeichung]],EFs_Wärme[],20,FALSE),"")</calculatedColumnFormula>
    </tableColumn>
    <tableColumn id="30" xr3:uid="{2225B235-BBD2-460F-8C14-DD08F9AD5935}" name="EF Scope 2 SF6_x000a_(kg SF6/Einheit)" dataDxfId="1252" totalsRowDxfId="1251">
      <calculatedColumnFormula>IFERROR(VLOOKUP(Wärme[[#This Row],[Thema_Bezeichung]],EFs_Wärme[],21,FALSE),"")</calculatedColumnFormula>
    </tableColumn>
    <tableColumn id="29" xr3:uid="{67EEF8B0-C012-43AF-AA6E-F11F7AF4BA7A}" name="EF Scope 2 NF3_x000a_(kg NF3/Einheit)" dataDxfId="1250" totalsRowDxfId="1249">
      <calculatedColumnFormula>IFERROR(VLOOKUP(Wärme[[#This Row],[Thema_Bezeichung]],EFs_Wärme[],22,FALSE),"")</calculatedColumnFormula>
    </tableColumn>
    <tableColumn id="13" xr3:uid="{DB334676-90A2-4B90-A42F-914B400DB41C}" name="EF Scope 2 Nicht-Kyoto-Gase (kg Nicht-Kyoto-Gase/Einheit)" dataDxfId="1248" totalsRowDxfId="1247">
      <calculatedColumnFormula>IFERROR(VLOOKUP(Wärme[[#This Row],[Thema_Bezeichung]],EFs_Wärme[],23,FALSE),"")</calculatedColumnFormula>
    </tableColumn>
    <tableColumn id="39" xr3:uid="{AE57B3CD-2792-447A-AEB4-50A700B8FAA7}" name="EF Scope 3 CO2e_x000a_(kg CO2e/Einheit)" dataDxfId="1246" totalsRowDxfId="1245">
      <calculatedColumnFormula>IFERROR(VLOOKUP(Wärme[[#This Row],[Thema_Bezeichung]],EFs_Wärme[],24,FALSE),"")</calculatedColumnFormula>
    </tableColumn>
    <tableColumn id="16" xr3:uid="{591BFF1F-39BB-452A-AD1B-68856D56D49A}" name="Scope 1 CO2e [kg CO2e]" totalsRowFunction="sum" dataDxfId="1244" totalsRowDxfId="1243">
      <calculatedColumnFormula>IFERROR(Wärme[[#This Row],[Wert 
(Zahl)]]*Wärme[[#This Row],[EF Scope 1 CO2e
(kg CO2e/Einheit)]],"")</calculatedColumnFormula>
    </tableColumn>
    <tableColumn id="17" xr3:uid="{694D2F41-4308-4748-8911-8B869109CB1C}" name="Scope 2 CO2e [kg CO2e]" totalsRowFunction="sum" dataDxfId="1242" totalsRowDxfId="1241">
      <calculatedColumnFormula>IFERROR(Wärme[[#This Row],[Wert 
(Zahl)]]*Wärme[[#This Row],[EF Scope 2 CO2e
(kg CO2e/Einheit)]],"")</calculatedColumnFormula>
    </tableColumn>
    <tableColumn id="18" xr3:uid="{675E1099-D02B-4179-863F-9E920A0907E5}" name="Scope 3 CO2e [kg CO2e]" totalsRowFunction="sum" dataDxfId="1240" totalsRowDxfId="1239">
      <calculatedColumnFormula>IFERROR(Wärme[[#This Row],[Wert 
(Zahl)]]*Wärme[[#This Row],[EF Scope 3 CO2e
(kg CO2e/Einheit)]],"")</calculatedColumnFormula>
    </tableColumn>
    <tableColumn id="40" xr3:uid="{EF2BADA8-3F0C-4702-9813-429DD1E4DDEB}" name="Scope 1 CO2 biogen [kg CO2]" totalsRowFunction="sum" dataDxfId="1238" totalsRowDxfId="1237">
      <calculatedColumnFormula>IFERROR(Wärme[[#This Row],[Wert 
(Zahl)]]*Wärme[[#This Row],[EF Scope 1 CO2 biogen
(kg CO2 /Einheit)]],"")</calculatedColumnFormula>
    </tableColumn>
    <tableColumn id="47" xr3:uid="{A95688BF-7AC9-4706-B14E-85342CFD365A}" name="Scope 1 CO2 [kg CO2]" totalsRowFunction="sum" dataDxfId="1236" totalsRowDxfId="1235">
      <calculatedColumnFormula>IFERROR(Wärme[[#This Row],[Wert 
(Zahl)]]*Wärme[[#This Row],[EF Scope 1 CO2
(kg CO2/Einheit)]],"")</calculatedColumnFormula>
    </tableColumn>
    <tableColumn id="46" xr3:uid="{17992603-9249-4145-97EF-E8B2587A42E6}" name="Scope 1 CH4 [kg CH4]" totalsRowFunction="sum" dataDxfId="1234" totalsRowDxfId="1233">
      <calculatedColumnFormula>IFERROR(Wärme[[#This Row],[Wert 
(Zahl)]]*Wärme[[#This Row],[EF Scope 1 CH4
(kg CH4/Einheit)]],"")</calculatedColumnFormula>
    </tableColumn>
    <tableColumn id="45" xr3:uid="{36B6817B-F09D-4995-A069-C97D683FB57F}" name="Scope 1 N2O [kg N2O]" totalsRowFunction="sum" dataDxfId="1232" totalsRowDxfId="1231">
      <calculatedColumnFormula>IFERROR(Wärme[[#This Row],[Wert 
(Zahl)]]*Wärme[[#This Row],[EF Scope 1 N2O
(kg N2O/Einheit)]],"")</calculatedColumnFormula>
    </tableColumn>
    <tableColumn id="44" xr3:uid="{89105581-151A-4C50-8EAA-0C013DC39082}" name="Scope 1 HFCs [kg HFCs]" totalsRowFunction="sum" dataDxfId="1230" totalsRowDxfId="1229">
      <calculatedColumnFormula>IFERROR(Wärme[[#This Row],[Wert 
(Zahl)]]*Wärme[[#This Row],[EF Scope 1 HFCs
(kg HFCs/Einheit)]],"")</calculatedColumnFormula>
    </tableColumn>
    <tableColumn id="43" xr3:uid="{559DF3ED-2004-4DE9-A5CA-AA51322ED0DE}" name="Scope 1 PFCs [kg PFCs]" totalsRowFunction="sum" dataDxfId="1228" totalsRowDxfId="1227">
      <calculatedColumnFormula>IFERROR(Wärme[[#This Row],[Wert 
(Zahl)]]*Wärme[[#This Row],[EF Scope 1 PFCs
(kg PFCs/Einheit)]],"")</calculatedColumnFormula>
    </tableColumn>
    <tableColumn id="42" xr3:uid="{E0ED69ED-BCBA-46B9-A4B1-F641BAFE9F7A}" name="Scope 1 SF6 [kg SF6]" totalsRowFunction="sum" dataDxfId="1226" totalsRowDxfId="1225">
      <calculatedColumnFormula>IFERROR(Wärme[[#This Row],[Wert 
(Zahl)]]*Wärme[[#This Row],[EF Scope 1 SF6
(kg SF6/Einheit)]],"")</calculatedColumnFormula>
    </tableColumn>
    <tableColumn id="41" xr3:uid="{E7D9750F-6FE3-4044-839F-DF01388BE707}" name="Scope 1 NF3 [kg NF3]" totalsRowFunction="sum" dataDxfId="1224" totalsRowDxfId="1223">
      <calculatedColumnFormula>IFERROR(Wärme[[#This Row],[Wert 
(Zahl)]]*Wärme[[#This Row],[EF Scope 1 NF3
(kg NF3/Einheit)]],"")</calculatedColumnFormula>
    </tableColumn>
    <tableColumn id="28" xr3:uid="{A0028425-B6BA-4F91-9F27-2768295EFC71}" name="Scope 1 non-Kyoto [kg non-Kyoto gas]" totalsRowFunction="sum" dataDxfId="1222" totalsRowDxfId="1221">
      <calculatedColumnFormula>IFERROR(Wärme[[#This Row],[Wert 
(Zahl)]]*Wärme[[#This Row],[EF Scope 1 Nicht-Kyoto-Gase (kg Nicht-Kyoto-Gase/Einheit)]],"")</calculatedColumnFormula>
    </tableColumn>
    <tableColumn id="56" xr3:uid="{38CD687F-96EA-4ACE-86AA-6119900D99E1}" name="Scope 2 CO2 [kg CO2]" totalsRowFunction="sum" dataDxfId="1220" totalsRowDxfId="1219">
      <calculatedColumnFormula>IFERROR(Wärme[[#This Row],[Wert 
(Zahl)]]*Wärme[[#This Row],[EF Scope 2 CO2
(kg CO2/Einheit)]],"")</calculatedColumnFormula>
    </tableColumn>
    <tableColumn id="55" xr3:uid="{315799F3-A1C6-4B5A-B983-E7C1EF6520C7}" name="Scope 2 CH4 [kg CH4]" totalsRowFunction="sum" dataDxfId="1218" totalsRowDxfId="1217">
      <calculatedColumnFormula>IFERROR(Wärme[[#This Row],[Wert 
(Zahl)]]*Wärme[[#This Row],[EF Scope 2 CH4
(kg CH4/Einheit)]],"")</calculatedColumnFormula>
    </tableColumn>
    <tableColumn id="54" xr3:uid="{44488AF6-6EAA-4FF1-B937-9E7A64924887}" name="Scope 2 N2O [kg N2O]" totalsRowFunction="sum" dataDxfId="1216" totalsRowDxfId="1215">
      <calculatedColumnFormula>IFERROR(Wärme[[#This Row],[Wert 
(Zahl)]]*Wärme[[#This Row],[EF Scope 2 N2O
(kg N2O/Einheit)]],"")</calculatedColumnFormula>
    </tableColumn>
    <tableColumn id="53" xr3:uid="{AA217F79-7E98-4F9D-A9A5-CC53365145C5}" name="Scope 2 HFCs [kg HFCs]" totalsRowFunction="sum" dataDxfId="1214" totalsRowDxfId="1213">
      <calculatedColumnFormula>IFERROR(Wärme[[#This Row],[Wert 
(Zahl)]]*Wärme[[#This Row],[EF Scope 2 HFCs
(kg HFCs/Einheit)]],"")</calculatedColumnFormula>
    </tableColumn>
    <tableColumn id="52" xr3:uid="{3D2DB124-8DFA-4331-AA9B-F7EB01331055}" name="Scope 2 PFCs [kg PFCs]" totalsRowFunction="sum" dataDxfId="1212" totalsRowDxfId="1211">
      <calculatedColumnFormula>IFERROR(Wärme[[#This Row],[Wert 
(Zahl)]]*Wärme[[#This Row],[EF Scope 2 PFCs
(kg PFCs/Einheit)]],"")</calculatedColumnFormula>
    </tableColumn>
    <tableColumn id="51" xr3:uid="{53EA88F4-59A4-4B06-99BD-F82C364A20C8}" name="Scope 2 SF6 [kg SF6]" totalsRowFunction="sum" dataDxfId="1210" totalsRowDxfId="1209">
      <calculatedColumnFormula>IFERROR(Wärme[[#This Row],[Wert 
(Zahl)]]*Wärme[[#This Row],[EF Scope 2 SF6
(kg SF6/Einheit)]],"")</calculatedColumnFormula>
    </tableColumn>
    <tableColumn id="50" xr3:uid="{8CB8AF6D-ACF0-484F-A2AF-A589DFFED264}" name="Scope 2 NF3 [kg NF3]" totalsRowFunction="sum" dataDxfId="1208" totalsRowDxfId="1207">
      <calculatedColumnFormula>IFERROR(Wärme[[#This Row],[Wert 
(Zahl)]]*Wärme[[#This Row],[EF Scope 2 NF3
(kg NF3/Einheit)]],"")</calculatedColumnFormula>
    </tableColumn>
    <tableColumn id="36" xr3:uid="{1D86AE03-3F5F-4B1D-9B79-9C54F4EDCCE0}" name="Scope 2 non-Kyoto [kg non-Kyoto gas]" totalsRowFunction="sum" dataDxfId="1206" totalsRowDxfId="1205">
      <calculatedColumnFormula>IFERROR(Wärme[[#This Row],[Wert 
(Zahl)]]*Wärme[[#This Row],[EF Scope 2 Nicht-Kyoto-Gase (kg Nicht-Kyoto-Gase/Einheit)]],"")</calculatedColumnFormula>
    </tableColumn>
    <tableColumn id="57" xr3:uid="{09EA719E-E981-4DA0-9743-1EAA0E9502BC}" name="Scope 1 CO2 [kg CO2e]" totalsRowFunction="sum" dataDxfId="1204" totalsRowDxfId="1203">
      <calculatedColumnFormula>IF(ISBLANK(Wärme[[#This Row],[Wert 
(Zahl)]]),"",IFERROR(Wärme[[#This Row],[Scope 1 CO2 '[kg CO2']]]*IFERROR(VLOOKUP("CO2",GWP_100[],3,FALSE),0),0))</calculatedColumnFormula>
    </tableColumn>
    <tableColumn id="58" xr3:uid="{61BF7E15-2D83-4335-8783-1A97045F9502}" name="Scope 1 CH4 [kg CO2e]" totalsRowFunction="sum" dataDxfId="1202" totalsRowDxfId="1201">
      <calculatedColumnFormula>IF(ISBLANK(Wärme[[#This Row],[Wert 
(Zahl)]]),"",IFERROR(Wärme[[#This Row],[Scope 1 CH4 '[kg CH4']]]*IFERROR(VLOOKUP("CH4",GWP_100[],4,FALSE),0),0))</calculatedColumnFormula>
    </tableColumn>
    <tableColumn id="59" xr3:uid="{85881BFA-598C-46BC-8244-654E3B9A4527}" name="Scope 1 N2O [kg CO2e]" totalsRowFunction="sum" dataDxfId="1200" totalsRowDxfId="1199">
      <calculatedColumnFormula>IF(ISBLANK(Wärme[[#This Row],[Wert 
(Zahl)]]),"",IFERROR(Wärme[[#This Row],[Scope 1 N2O '[kg N2O']]]*IFERROR(VLOOKUP("N2O",GWP_100[],5,FALSE),0),0))</calculatedColumnFormula>
    </tableColumn>
    <tableColumn id="60" xr3:uid="{520C1944-FE63-481B-8E92-5C6D470AFA76}" name="Scope 1 HFCs [kg CO2e]" totalsRowFunction="sum" dataDxfId="1198" totalsRowDxfId="1197">
      <calculatedColumnFormula>IF(ISBLANK(Wärme[[#This Row],[Wert 
(Zahl)]]),"",IFERROR(Wärme[[#This Row],[Scope 1 HFCs '[kg HFCs']]]*IFERROR(VLOOKUP(Wärme[[#This Row],[Emissionsquelle/Aktivität (Dropdown)]],GWP_100[],6,FALSE),0),0))</calculatedColumnFormula>
    </tableColumn>
    <tableColumn id="61" xr3:uid="{F4EBEE61-6DE3-42E3-9640-EBB1A9D43383}" name="Scope 1 PFCs [kg CO2e]" totalsRowFunction="sum" dataDxfId="1196" totalsRowDxfId="1195">
      <calculatedColumnFormula>IF(ISBLANK(Wärme[[#This Row],[Wert 
(Zahl)]]),"",IFERROR(Wärme[[#This Row],[Scope 1 PFCs '[kg PFCs']]]*IFERROR(VLOOKUP(Wärme[[#This Row],[Emissionsquelle/Aktivität (Dropdown)]],GWP_100[],7,FALSE),0),0))</calculatedColumnFormula>
    </tableColumn>
    <tableColumn id="62" xr3:uid="{12FD70F9-293B-4923-B3A8-6C979797EBA3}" name="Scope 1 SF6 [kg CO2e]" totalsRowFunction="sum" dataDxfId="1194" totalsRowDxfId="1193">
      <calculatedColumnFormula>IF(ISBLANK(Wärme[[#This Row],[Wert 
(Zahl)]]),"",IFERROR(Wärme[[#This Row],[Scope 1 SF6 '[kg SF6']]]*IFERROR(VLOOKUP("SF6",GWP_100[],8,FALSE),0),0))</calculatedColumnFormula>
    </tableColumn>
    <tableColumn id="63" xr3:uid="{C85FEED9-7623-4A84-99D0-5D307D555624}" name="Scope 1 NF3 [kg CO2e]" totalsRowFunction="sum" dataDxfId="1192" totalsRowDxfId="1191">
      <calculatedColumnFormula>IF(ISBLANK(Wärme[[#This Row],[Wert 
(Zahl)]]),"",IFERROR(Wärme[[#This Row],[Scope 1 NF3 '[kg NF3']]]*IFERROR(VLOOKUP("NF3",GWP_100[],9,FALSE),0),0))</calculatedColumnFormula>
    </tableColumn>
    <tableColumn id="37" xr3:uid="{56048C0C-0B5C-4CDE-BFF0-15C62D90CFD9}" name="Scope 1 non-Kyoto [kg CO2e]" totalsRowFunction="sum" dataDxfId="1190" totalsRowDxfId="1189">
      <calculatedColumnFormula>IF(ISBLANK(Wärme[[#This Row],[Wert 
(Zahl)]]),"",IFERROR(Wärme[[#This Row],[Scope 1 non-Kyoto '[kg non-Kyoto gas']]]*IFERROR(VLOOKUP(Wärme[[#This Row],[Emissionsquelle/Aktivität (Dropdown)]],GWP_100[],10,FALSE),0),0))</calculatedColumnFormula>
    </tableColumn>
    <tableColumn id="64" xr3:uid="{3C201075-3BA2-439F-8D61-D0C1784020E6}" name="Scope 2 CO2 [kg CO2e]" totalsRowFunction="sum" dataDxfId="1188" totalsRowDxfId="1187">
      <calculatedColumnFormula>IF(ISBLANK(Wärme[[#This Row],[Wert 
(Zahl)]]),"",IFERROR(Wärme[[#This Row],[Scope 2 CO2 '[kg CO2']]]*IFERROR(VLOOKUP("CO2",GWP_100[],3,FALSE),0),0))</calculatedColumnFormula>
    </tableColumn>
    <tableColumn id="65" xr3:uid="{1AD0740D-5FA0-43E8-855B-945C5CFC7768}" name="Scope 2 CH4 [kg CO2e]" totalsRowFunction="sum" dataDxfId="1186" totalsRowDxfId="1185">
      <calculatedColumnFormula>IF(ISBLANK(Wärme[[#This Row],[Wert 
(Zahl)]]),"",IFERROR(Wärme[[#This Row],[Scope 2 CH4 '[kg CH4']]]*IFERROR(VLOOKUP("CH4",GWP_100[],4,FALSE),0),0))</calculatedColumnFormula>
    </tableColumn>
    <tableColumn id="66" xr3:uid="{DACC2A0D-7BFC-4383-8822-2BEE9C969C0D}" name="Scope 2 N2O [kg CO2e]" totalsRowFunction="sum" dataDxfId="1184" totalsRowDxfId="1183">
      <calculatedColumnFormula>IF(ISBLANK(Wärme[[#This Row],[Wert 
(Zahl)]]),"",IFERROR(Wärme[[#This Row],[Scope 2 N2O '[kg N2O']]]*IFERROR(VLOOKUP("N2O",GWP_100[],5,FALSE),0),0))</calculatedColumnFormula>
    </tableColumn>
    <tableColumn id="67" xr3:uid="{BC890754-8347-405B-9B69-2437113CB816}" name="Scope 2 HFCs [kg CO2e]" totalsRowFunction="sum" dataDxfId="1182" totalsRowDxfId="1181">
      <calculatedColumnFormula>IF(ISBLANK(Wärme[[#This Row],[Wert 
(Zahl)]]),"",IFERROR(Wärme[[#This Row],[Scope 2 HFCs '[kg HFCs']]]*IFERROR(VLOOKUP(Wärme[[#This Row],[Emissionsquelle/Aktivität (Dropdown)]],GWP_100[],6,FALSE),0),0))</calculatedColumnFormula>
    </tableColumn>
    <tableColumn id="68" xr3:uid="{20A8A3BF-FE64-41C0-8AD9-C23C4BE39F8E}" name="Scope 2 PFCs [kg CO2e]" totalsRowFunction="sum" dataDxfId="1180" totalsRowDxfId="1179">
      <calculatedColumnFormula>IF(ISBLANK(Wärme[[#This Row],[Wert 
(Zahl)]]),"",IFERROR(Wärme[[#This Row],[Scope 2 PFCs '[kg PFCs']]]*IFERROR(VLOOKUP(Wärme[[#This Row],[Emissionsquelle/Aktivität (Dropdown)]],GWP_100[],7,FALSE),0),0))</calculatedColumnFormula>
    </tableColumn>
    <tableColumn id="69" xr3:uid="{8B214F11-96DB-4C66-A337-C901466F9A1F}" name="Scope 2 SF6 [kg CO2e]" totalsRowFunction="sum" dataDxfId="1178" totalsRowDxfId="1177">
      <calculatedColumnFormula>IF(ISBLANK(Wärme[[#This Row],[Wert 
(Zahl)]]),"",IFERROR(Wärme[[#This Row],[Scope 2 SF6 '[kg SF6']]]*IFERROR(VLOOKUP("SF6",GWP_100[],8,FALSE),0),0))</calculatedColumnFormula>
    </tableColumn>
    <tableColumn id="70" xr3:uid="{32BAD207-85EB-4B1C-8310-A33971A5D511}" name="Scope 2 NF3 [kg CO2e]" totalsRowFunction="sum" dataDxfId="1176" totalsRowDxfId="1175">
      <calculatedColumnFormula>IF(ISBLANK(Wärme[[#This Row],[Wert 
(Zahl)]]),"",IFERROR(Wärme[[#This Row],[Scope 2 NF3 '[kg NF3']]]*IFERROR(VLOOKUP("NF3",GWP_100[],9,FALSE),0),0))</calculatedColumnFormula>
    </tableColumn>
    <tableColumn id="48" xr3:uid="{47932704-8130-4B76-92C4-A3EDAB44FA65}" name="Scope 2 non-Kyoto [kg CO2e]" totalsRowFunction="sum" dataDxfId="1174" totalsRowDxfId="1173">
      <calculatedColumnFormula>IF(ISBLANK(Wärme[[#This Row],[Wert 
(Zahl)]]),"",IFERROR(Wärme[[#This Row],[Scope 2 non-Kyoto '[kg non-Kyoto gas']]]*IFERROR(VLOOKUP(Wärme[[#This Row],[Emissionsquelle/Aktivität (Dropdown)]],GWP_100[],10,FALSE),0),0))</calculatedColumnFormula>
    </tableColumn>
  </tableColumns>
  <tableStyleInfo name="Tabelle KBK"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DC91952-E568-48B8-A4FC-CE7798F34CC7}" name="EFs_Strom" displayName="EFs_Strom" ref="C34:AK47" totalsRowShown="0" headerRowDxfId="611" dataDxfId="610" tableBorderDxfId="609">
  <tableColumns count="35">
    <tableColumn id="16" xr3:uid="{8202FB41-E025-486C-BE48-7F77BE7D6DDA}" name="Sektor_Thema" dataDxfId="608">
      <calculatedColumnFormula>CONCATENATE(EFs_Strom[[#This Row],[Thema]]," - ",EFs_Strom[[#This Row],[Bezeichnung]])</calculatedColumnFormula>
    </tableColumn>
    <tableColumn id="1" xr3:uid="{938C7282-7A53-4C74-9B55-170589F8CCB5}" name="Thema" dataDxfId="607">
      <calculatedColumnFormula>"Strom"</calculatedColumnFormula>
    </tableColumn>
    <tableColumn id="2" xr3:uid="{1F0F629F-7E42-4874-A77C-B878ACF9BA64}" name="Bezeichnung" dataDxfId="606"/>
    <tableColumn id="3" xr3:uid="{B7864BEB-72BF-4219-A268-D53C07EB8E2B}" name="Erfassungseinheit" dataDxfId="605"/>
    <tableColumn id="4" xr3:uid="{0128AF7F-BBFD-433A-B89D-49A18F83B70E}" name="EF Scope 1 CO2e_x000a_(kg CO2e/Einheit)" dataDxfId="604"/>
    <tableColumn id="21" xr3:uid="{EC43E10D-672B-4AF0-AFC2-A13497F8C402}" name="EF Scope 1 CO2_x000a_(kg CO2/Einheit)" dataDxfId="603"/>
    <tableColumn id="20" xr3:uid="{359AA591-7E44-44C6-A63A-FE7227DB14A5}" name="EF Scope 1 CH4_x000a_(kg CH4/Einheit)" dataDxfId="602"/>
    <tableColumn id="17" xr3:uid="{744C3CC6-7B49-4823-B434-92BFEC4F1AA5}" name="EF Scope 1 N2O_x000a_(kg N2O/Einheit)" dataDxfId="601"/>
    <tableColumn id="22" xr3:uid="{CBE35A1A-4E90-411D-9202-8716C4492998}" name="EF Scope 1 HFCs_x000a_(kg HFCs/Einheit)" dataDxfId="600"/>
    <tableColumn id="29" xr3:uid="{E2DD8CA0-ED48-438D-B4DB-F643EC994C0C}" name="EF Scope 1 PFCs_x000a_(kg PFCs/Einheit)" dataDxfId="599"/>
    <tableColumn id="28" xr3:uid="{71DF07FE-7714-40FD-A867-C4AAD9CDD2C9}" name="EF Scope 1 SF6_x000a_(kg SF6/Einheit)" dataDxfId="598"/>
    <tableColumn id="27" xr3:uid="{2EF18049-3951-4F99-813C-C98BF58FF0EC}" name="EF Scope 1 NF3_x000a_(kg NF3/Einheit)" dataDxfId="597"/>
    <tableColumn id="34" xr3:uid="{62B5B5B3-3CD7-4338-B88E-979E89CDA9E2}" name="EF Scope 1 Nicht-Kyoto-Gase_x000a_(kg Nicht-Kyoto-Gase/Einheit)" dataDxfId="596"/>
    <tableColumn id="26" xr3:uid="{755C9A26-E97A-494C-BBB0-FB0480797857}" name="EF Scope 1 CO2 biogen_x000a_(kg CO2 /Einheit)" dataDxfId="595"/>
    <tableColumn id="5" xr3:uid="{97DF303A-6B01-4731-8774-D1A476E8B32C}" name="EF Scope 2 CO2e_x000a_(kg CO2e/Einheit)" dataDxfId="594"/>
    <tableColumn id="25" xr3:uid="{F74B7BED-7988-4C9C-BA04-CCDDF0F5F7CC}" name="EF Scope 2 CO2_x000a_(kg CO2/Einheit)" dataDxfId="593"/>
    <tableColumn id="24" xr3:uid="{6B3810FB-E5BE-4FA1-9AEC-9A53FAC102CE}" name="EF Scope 2 CH4_x000a_(kg CH4/Einheit)" dataDxfId="592"/>
    <tableColumn id="23" xr3:uid="{168E59B4-4A04-4873-A576-5EB2D2A2B278}" name="EF Scope 2 N2O_x000a_(kg N2O/Einheit)" dataDxfId="591"/>
    <tableColumn id="33" xr3:uid="{52DBD905-FA07-479F-8F4B-55C25A273F13}" name="EF Scope 2 HFCs_x000a_(kg HFCs/Einheit)" dataDxfId="590"/>
    <tableColumn id="32" xr3:uid="{3E816394-C710-4514-9DD6-D4FADAC5890A}" name="EF Scope 2 PFCs_x000a_(kg PFCs/Einheit)" dataDxfId="589"/>
    <tableColumn id="31" xr3:uid="{71801A88-0E5F-4DB1-9840-2FBF901B92E3}" name="EF Scope 2 SF6_x000a_(kg SF6/Einheit)" dataDxfId="588"/>
    <tableColumn id="30" xr3:uid="{F3BDDB07-B182-4026-9C8B-6F3D1D4EEE8C}" name="EF Scope 2 NF3_x000a_(kg NF3/Einheit)" dataDxfId="587"/>
    <tableColumn id="35" xr3:uid="{8C9E00DB-7B8B-44AB-9470-0E07A17A5EEA}" name="EF Scope 2 Nicht-Kyoto-Gase_x000a_(kg Nicht-Kyoto-Gase/Einheit)" dataDxfId="586"/>
    <tableColumn id="6" xr3:uid="{2A38594A-E09A-44EA-BA9A-395D86479287}" name="EF Scope 3 CO2e_x000a_(kg CO2e/Einheit)" dataDxfId="585"/>
    <tableColumn id="7" xr3:uid="{1B4B61AA-D267-4778-BAF5-44C3A7827609}" name="Quelle Scope 1" dataDxfId="584"/>
    <tableColumn id="8" xr3:uid="{FA7DA297-336C-4BAE-9E33-174E13F067EC}" name="Quelle Scope 2" dataDxfId="583"/>
    <tableColumn id="9" xr3:uid="{E933013B-B7E3-469F-BC50-FBE902DB4755}" name="Quelle Scope 3" dataDxfId="582"/>
    <tableColumn id="19" xr3:uid="{56449630-3AB4-4153-ADC4-01EFA901B886}" name="Umrechnungsfaktor Heizwert _x000a_[kWh/Standardeinheit]" dataDxfId="581"/>
    <tableColumn id="18" xr3:uid="{D88F6493-CE82-4373-B716-8C0F4AABCF3B}" name="Quelle Umrechnungsfaktor" dataDxfId="580"/>
    <tableColumn id="10" xr3:uid="{A904AC90-BAC4-4E2B-8D9A-CD275DFEC507}" name="Vermeidungsfaktor (kg CO2e/Einheit)" dataDxfId="579"/>
    <tableColumn id="11" xr3:uid="{FD27AAFA-969A-4C9F-919B-0DC65B58F5B5}" name="Quelle  Vermeidungsfaktor" dataDxfId="578"/>
    <tableColumn id="12" xr3:uid="{C9BD3D9C-5786-4038-9D23-C5AF37125A73}" name="Kommentar" dataDxfId="577"/>
    <tableColumn id="13" xr3:uid="{69F1146B-7387-47EA-BB8F-9F8A5DAA1C50}" name="Scope 1 Kategorie" dataDxfId="576">
      <calculatedColumnFormula>"Kat. 1"</calculatedColumnFormula>
    </tableColumn>
    <tableColumn id="14" xr3:uid="{B072CCE1-2836-46A0-8A3E-33D22F568117}" name="Scope 2 Kategorie" dataDxfId="575">
      <calculatedColumnFormula>"Kat. 1"</calculatedColumnFormula>
    </tableColumn>
    <tableColumn id="15" xr3:uid="{39907C5A-5635-4B36-9DE2-9AE993767D9B}" name="Scope 3 Kategorie" dataDxfId="574">
      <calculatedColumnFormula>"Kat. 3"</calculatedColumnFormula>
    </tableColumn>
  </tableColumns>
  <tableStyleInfo name="Tabelle KBK"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B876587-602E-4D89-BB5B-E6C1B35CD725}" name="EFs_Fuhrpark" displayName="EFs_Fuhrpark" ref="C105:AG120" totalsRowShown="0" headerRowDxfId="573" dataDxfId="572" tableBorderDxfId="571">
  <tableColumns count="31">
    <tableColumn id="16" xr3:uid="{632B60E5-5BA8-491D-A7EA-EBF05208393B}" name="Sektor_Thema" dataDxfId="570">
      <calculatedColumnFormula>CONCATENATE(EFs_Fuhrpark[[#This Row],[Thema]]," - ",EFs_Fuhrpark[[#This Row],[Bezeichnung]])</calculatedColumnFormula>
    </tableColumn>
    <tableColumn id="1" xr3:uid="{8DAF0948-F285-444D-B1A3-6563324711CF}" name="Thema" dataDxfId="569">
      <calculatedColumnFormula>"Fuhrpark"</calculatedColumnFormula>
    </tableColumn>
    <tableColumn id="2" xr3:uid="{5C31F19E-0194-46AF-B1F9-3D6D06AC8124}" name="Bezeichnung" dataDxfId="568"/>
    <tableColumn id="3" xr3:uid="{A757038C-50EA-42FE-AC0F-CDD00277A856}" name="Erfassungseinheit" dataDxfId="567"/>
    <tableColumn id="4" xr3:uid="{D3F0D32D-8FB7-4D6D-AAB2-76C49855E241}" name="EF Scope 1 CO2e_x000a_(kg CO2e/Einheit)" dataDxfId="566"/>
    <tableColumn id="18" xr3:uid="{EFD264B4-57B5-42DA-8531-A4A0A7494B0B}" name="EF Scope 1 CO2_x000a_(kg CO2/Einheit)" dataDxfId="565"/>
    <tableColumn id="17" xr3:uid="{F87602C4-83E5-49DB-ABC0-3EEAEE82D99C}" name="EF Scope 1 CH4_x000a_(kg CH4/Einheit)" dataDxfId="564"/>
    <tableColumn id="11" xr3:uid="{CF098198-C663-4AEE-BA15-C108E331D49F}" name="EF Scope 1 N2O_x000a_(kg N2O/Einheit)" dataDxfId="563"/>
    <tableColumn id="29" xr3:uid="{41E7A921-4CF7-409E-A19E-592947DBA1E5}" name="EF Scope 1 HFCs_x000a_(kg HFCs/Einheit)" dataDxfId="562"/>
    <tableColumn id="28" xr3:uid="{9790D9C5-5FE7-4612-98D7-AC58AAC86A3F}" name="EF Scope 1 PFCs_x000a_(kg PFCs/Einheit)" dataDxfId="561"/>
    <tableColumn id="27" xr3:uid="{FCD1ECFF-8D67-4B41-ABBB-A069BAC80498}" name="EF Scope 1 SF6_x000a_(kg SF6/Einheit)" dataDxfId="560"/>
    <tableColumn id="26" xr3:uid="{5A2236D8-0F0E-4493-892E-880467887DAC}" name="EF Scope 1 NF3_x000a_(kg NF3/Einheit)" dataDxfId="559"/>
    <tableColumn id="22" xr3:uid="{8BB2C13B-A8C6-4DD0-A740-F9CD5CC9FC7B}" name="EF Scope 1 Nicht-Kyoto-Gase_x000a_(kg Nicht-Kyoto-Gase/Einheit)" dataDxfId="558"/>
    <tableColumn id="10" xr3:uid="{F1C7A6C2-F775-4B38-B59F-AE75A0E40FFB}" name="EF Scope 1 CO2 biogen_x000a_(kg CO2 /Einheit)" dataDxfId="557"/>
    <tableColumn id="5" xr3:uid="{2791B16C-8533-429D-988E-D76C759CB499}" name="EF Scope 2 CO2e_x000a_(kg CO2e/Einheit)" dataDxfId="556"/>
    <tableColumn id="21" xr3:uid="{F7E38C97-E3EA-4809-A3DC-EC4D9C1998F7}" name="EF Scope 2 CO2_x000a_(kg CO2/Einheit)" dataDxfId="555"/>
    <tableColumn id="20" xr3:uid="{53DF5FCF-5A3F-4AFC-96C9-DA2283773423}" name="EF Scope 2 CH4_x000a_(kg CH4/Einheit)" dataDxfId="554"/>
    <tableColumn id="19" xr3:uid="{E539780F-A082-4EF9-9A42-7087C181D51E}" name="EF Scope 2 N2O_x000a_(kg N2O/Einheit)" dataDxfId="553"/>
    <tableColumn id="33" xr3:uid="{6B87DE72-7AA0-480B-9B29-5F45244F03D7}" name="EF Scope 2 HFCs_x000a_(kg HFCs/Einheit)" dataDxfId="552"/>
    <tableColumn id="32" xr3:uid="{10453E1A-F89A-4E69-BD1D-93629ED64207}" name="EF Scope 2 PFCs_x000a_(kg PFCs/Einheit)" dataDxfId="551"/>
    <tableColumn id="31" xr3:uid="{8278289C-B06F-4EA3-826D-E9645D43365A}" name="EF Scope 2 SF6_x000a_(kg SF6/Einheit)" dataDxfId="550"/>
    <tableColumn id="30" xr3:uid="{D72A01F2-BFA0-44C9-8554-0592F79A2992}" name="EF Scope 2 NF3_x000a_(kg NF3/Einheit)" dataDxfId="549"/>
    <tableColumn id="23" xr3:uid="{5FE45AD4-BF9F-4DC4-9C88-3562113C364F}" name="EF Scope 2 Nicht-Kyoto-Gase_x000a_(kg Nicht-Kyoto-Gase/Einheit)" dataDxfId="548"/>
    <tableColumn id="6" xr3:uid="{58FC9860-891B-4C29-8E1D-701147112B6C}" name="EF Scope 3 CO2e_x000a_(kg CO2e/Einheit)" dataDxfId="547"/>
    <tableColumn id="7" xr3:uid="{55AA4B29-4655-4593-BAF8-047790316B4E}" name="Quelle Scope 1" dataDxfId="546"/>
    <tableColumn id="8" xr3:uid="{1750CC51-D51A-4804-BE58-C3AE97AA9ECE}" name="Quelle Scope 2" dataDxfId="545"/>
    <tableColumn id="9" xr3:uid="{E6C7AA0C-D719-4524-AF9A-A24D34F6B19A}" name="Quelle Scope 3" dataDxfId="544"/>
    <tableColumn id="12" xr3:uid="{AC3B2C02-BD25-4539-B7E0-4B2AD19A96E9}" name="Kommentar" dataDxfId="543"/>
    <tableColumn id="13" xr3:uid="{68DCC8F5-0C65-4B86-ABE0-B06DB9A65D16}" name="Scope 1 Kategorie" dataDxfId="542">
      <calculatedColumnFormula>"Kat. 2"</calculatedColumnFormula>
    </tableColumn>
    <tableColumn id="14" xr3:uid="{269CAA8E-D2AB-406F-BEA1-7EABFB50D978}" name="Scope 2 Kategorie" dataDxfId="541">
      <calculatedColumnFormula>"Kat. 1"</calculatedColumnFormula>
    </tableColumn>
    <tableColumn id="15" xr3:uid="{55BF1366-D879-41B3-9F6B-24AD93B18F4D}" name="Scope 3 Kategorie" dataDxfId="540">
      <calculatedColumnFormula>"Kat. 3"</calculatedColumnFormula>
    </tableColumn>
  </tableColumns>
  <tableStyleInfo name="Tabelle KBK"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71C7C1A-31D7-431B-AE3F-BA76CA0AFC3D}" name="EFs_Kühlmittel" displayName="EFs_Kühlmittel" ref="C49:AG103" totalsRowShown="0" headerRowDxfId="539" dataDxfId="538" tableBorderDxfId="537">
  <tableColumns count="31">
    <tableColumn id="16" xr3:uid="{6D1497EA-A486-4D42-8711-F75AE64A62E0}" name="Sektor_Thema" dataDxfId="536">
      <calculatedColumnFormula>CONCATENATE(EFs_Kühlmittel[[#This Row],[Thema]]," - ",EFs_Kühlmittel[[#This Row],[Bezeichnung]])</calculatedColumnFormula>
    </tableColumn>
    <tableColumn id="1" xr3:uid="{57624E52-EFD4-44E7-8F57-B1CCAD3A16DC}" name="Thema" dataDxfId="535">
      <calculatedColumnFormula>"Kühl_und_Kältemittel"</calculatedColumnFormula>
    </tableColumn>
    <tableColumn id="2" xr3:uid="{3A70A1AA-BB1F-4727-A51F-5563BBFA1A4D}" name="Bezeichnung" dataDxfId="534"/>
    <tableColumn id="3" xr3:uid="{9B482256-EF88-4023-BE1B-9C61F1A29E51}" name="Erfassungseinheit" dataDxfId="533"/>
    <tableColumn id="4" xr3:uid="{11C5EF85-BD27-4170-8A5E-769527DEEEA1}" name="EF Scope 1 CO2e_x000a_(kg CO2e/Einheit)" dataDxfId="532"/>
    <tableColumn id="18" xr3:uid="{20A77767-D152-4FEF-A81F-D53510D964C6}" name="EF Scope 1 CO2_x000a_(kg CO2/Einheit)" dataDxfId="531"/>
    <tableColumn id="17" xr3:uid="{73709BA6-9560-478B-9C85-59654DF432C3}" name="EF Scope 1 CH4_x000a_(kg CH4/Einheit)" dataDxfId="530"/>
    <tableColumn id="11" xr3:uid="{6039570D-0B99-4F67-AB0A-D242868FEC09}" name="EF Scope 1 N2O_x000a_(kg N2O/Einheit)" dataDxfId="529"/>
    <tableColumn id="22" xr3:uid="{6B36E70B-5E92-46B7-BE3D-0222C3E79624}" name="EF Scope 1 HFCs_x000a_(kg HFCs/Einheit)" dataDxfId="528"/>
    <tableColumn id="21" xr3:uid="{1B094745-64F6-436C-A168-3773E73D3C6D}" name="EF Scope 1 PFCs_x000a_(kg PFCs/Einheit)" dataDxfId="527"/>
    <tableColumn id="20" xr3:uid="{D0A01150-BF9C-448C-93E6-6B2560984A8B}" name="EF Scope 1 SF6_x000a_(kg SF6/Einheit)" dataDxfId="526"/>
    <tableColumn id="19" xr3:uid="{7358E39A-23F1-4B42-B3D4-EC33BEED3E54}" name="EF Scope 1 NF3_x000a_(kg NF3/Einheit)" dataDxfId="525"/>
    <tableColumn id="30" xr3:uid="{74DAADA4-A8AB-408E-BDA9-CA1A5E2DF5AB}" name="EF Scope 1 Nicht-Kyoto-Gase_x000a_(kg Nicht-Kyoto-Gase/Einheit)" dataDxfId="524"/>
    <tableColumn id="10" xr3:uid="{3808868C-01EB-40C5-8C9D-92F43092CB68}" name="EF Scope 1 CO2 biogen_x000a_(kg CO2 /Einheit)" dataDxfId="523"/>
    <tableColumn id="5" xr3:uid="{F22D2E49-4961-45F9-A7E1-AF91B00187CD}" name="EF Scope 2 CO2e_x000a_(kg CO2e/Einheit)" dataDxfId="522"/>
    <tableColumn id="29" xr3:uid="{E0C849CA-9F06-4D6F-A7ED-660D9C394960}" name="EF Scope 2 CO2_x000a_(kg CO2/Einheit)" dataDxfId="521"/>
    <tableColumn id="28" xr3:uid="{199C841D-654F-49B8-A864-99DC872ECA83}" name="EF Scope 2 CH4_x000a_(kg CH4/Einheit)" dataDxfId="520"/>
    <tableColumn id="27" xr3:uid="{4728AAB3-3768-4178-99F7-476763F3D69F}" name="EF Scope 2 N2O_x000a_(kg N2O/Einheit)" dataDxfId="519"/>
    <tableColumn id="26" xr3:uid="{4C55CA1C-6974-4B65-A2F7-A336307F311B}" name="EF Scope 2 HFCs_x000a_(kg HFCs/Einheit)" dataDxfId="518"/>
    <tableColumn id="25" xr3:uid="{6606A136-00D3-4B02-9FCB-399B8C29E6FE}" name="EF Scope 2 PFCs_x000a_(kg PFCs/Einheit)" dataDxfId="517"/>
    <tableColumn id="24" xr3:uid="{2AF455EC-4DCA-4A10-AB5E-0918A00A348C}" name="EF Scope 2 SF6_x000a_(kg SF6/Einheit)" dataDxfId="516"/>
    <tableColumn id="23" xr3:uid="{5157E7B7-3CC3-45E7-A840-EEB433876E7F}" name="EF Scope 2 NF3_x000a_(kg NF3/Einheit)" dataDxfId="515"/>
    <tableColumn id="31" xr3:uid="{550AADAD-C5E7-4CFC-B589-419365F93D6C}" name="EF Scope 2 Nicht-Kyoto-Gase_x000a_(kg Nicht-Kyoto-Gase/Einheit)" dataDxfId="514"/>
    <tableColumn id="6" xr3:uid="{CBB29DD2-169D-4F5C-924C-056039DDEA54}" name="EF Scope 3 CO2e_x000a_(kg CO2e/Einheit)" dataDxfId="513"/>
    <tableColumn id="7" xr3:uid="{10DB40DE-622F-424B-B824-908E99F04967}" name="Quelle Scope 1" dataDxfId="512"/>
    <tableColumn id="8" xr3:uid="{18DC24AB-6380-4F82-94AA-25FB834C97F3}" name="Quelle Scope 2" dataDxfId="511"/>
    <tableColumn id="9" xr3:uid="{3337A478-BBB7-449E-AF68-9ACE01204D4F}" name="Quelle Scope 3" dataDxfId="510"/>
    <tableColumn id="12" xr3:uid="{52CCCB37-DFAE-4055-8270-A68463B0F9CA}" name="Kommentar" dataDxfId="509"/>
    <tableColumn id="13" xr3:uid="{B3F29540-5B75-4FC2-A947-B22DCF210AB3}" name="Scope 1 Kategorie" dataDxfId="508">
      <calculatedColumnFormula>"Kat. 4"</calculatedColumnFormula>
    </tableColumn>
    <tableColumn id="14" xr3:uid="{90AD480F-2BC3-45F1-9FD2-8B751B52D8BB}" name="Scope 2 Kategorie" dataDxfId="507">
      <calculatedColumnFormula>"-"</calculatedColumnFormula>
    </tableColumn>
    <tableColumn id="15" xr3:uid="{999A9A92-6CFB-427A-B718-428FF76B59B0}" name="Scope 3 Kategorie" dataDxfId="506">
      <calculatedColumnFormula>"-"</calculatedColumnFormula>
    </tableColumn>
  </tableColumns>
  <tableStyleInfo name="Tabelle KBK"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BB19794-242A-4D20-B4F7-6714B4A4EAA5}" name="EFs_Geschäftsreisen" displayName="EFs_Geschäftsreisen" ref="C122:R150" totalsRowShown="0" headerRowDxfId="505" dataDxfId="504" tableBorderDxfId="503">
  <tableColumns count="16">
    <tableColumn id="16" xr3:uid="{50989BD7-0F16-4723-A24E-CC706F495C6B}" name="Sektor_Thema" dataDxfId="502">
      <calculatedColumnFormula>CONCATENATE(EFs_Geschäftsreisen[[#This Row],[Thema]]," - ",EFs_Geschäftsreisen[[#This Row],[Bezeichnung]])</calculatedColumnFormula>
    </tableColumn>
    <tableColumn id="1" xr3:uid="{9CD87194-0AC2-4073-A702-321AE0D3507E}" name="Thema" dataDxfId="501">
      <calculatedColumnFormula>"Geschäftsreisen"</calculatedColumnFormula>
    </tableColumn>
    <tableColumn id="2" xr3:uid="{F78C0E1E-99E8-428D-BC9F-EC27B6B80AD1}" name="Bezeichnung" dataDxfId="500"/>
    <tableColumn id="3" xr3:uid="{F5CC90C4-143C-43CE-A3BB-2C232D9C9801}" name="Erfassungseinheit" dataDxfId="499"/>
    <tableColumn id="4" xr3:uid="{320164D5-B819-447F-B642-D3BD114AE050}" name="EF Scope 1 CO2e_x000a_(kg CO2e/Einheit)" dataDxfId="498"/>
    <tableColumn id="5" xr3:uid="{BBDBE094-FB50-46B2-B026-AC387AD2297F}" name="EF Scope 2 CO2e_x000a_(kg CO2e/Einheit)" dataDxfId="497"/>
    <tableColumn id="6" xr3:uid="{775AE2C2-6F23-4F2D-8148-A6F7FD411EDB}" name="EF Scope 3 CO2e_x000a_(kg CO2e/Einheit)" dataDxfId="496"/>
    <tableColumn id="19" xr3:uid="{7286F826-9536-4A1D-A43F-4E4521C04F23}" name="EF Scope 3 Nicht-CO2-Effekte_x000a_(kg CO2e/Einheit)" dataDxfId="495"/>
    <tableColumn id="17" xr3:uid="{982E41EE-5A7B-4815-B673-4D0C3F78E4B0}" name="Durchschnittliche PKW-Auslastung" dataDxfId="494"/>
    <tableColumn id="7" xr3:uid="{28C5B583-31E6-4B0C-A302-E99D29326399}" name="Quelle Scope 1" dataDxfId="493"/>
    <tableColumn id="8" xr3:uid="{F6732FEC-8C99-4120-8C75-4A2D968510FA}" name="Quelle Scope 2" dataDxfId="492"/>
    <tableColumn id="9" xr3:uid="{971E1AAE-E8B0-49F9-9C82-A0994FAA6F36}" name="Quelle Scope 3" dataDxfId="491"/>
    <tableColumn id="12" xr3:uid="{38E56AE4-225D-4973-8866-4A0102E5A919}" name="Kommentar" dataDxfId="490"/>
    <tableColumn id="13" xr3:uid="{A9B739D0-5193-4B7F-9A53-8598DDDFDB62}" name="Scope 1 Kategorie" dataDxfId="489">
      <calculatedColumnFormula>"-"</calculatedColumnFormula>
    </tableColumn>
    <tableColumn id="14" xr3:uid="{14FD9C4A-BD66-47AD-B156-9DE52C04559F}" name="Scope 2 Kategorie" dataDxfId="488">
      <calculatedColumnFormula>"-"</calculatedColumnFormula>
    </tableColumn>
    <tableColumn id="15" xr3:uid="{C3169A10-644A-45F8-8CCD-B293E1543195}" name="Scope 3 Kategorie" dataDxfId="487">
      <calculatedColumnFormula>"Kat. 6"</calculatedColumnFormula>
    </tableColumn>
  </tableColumns>
  <tableStyleInfo name="Tabelle KBK"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A8F5458-04FB-46E7-A43A-1D6398101869}" name="EFs_Pendeln" displayName="EFs_Pendeln" ref="C152:R170" totalsRowShown="0" headerRowDxfId="486" dataDxfId="485" tableBorderDxfId="484">
  <tableColumns count="16">
    <tableColumn id="16" xr3:uid="{202A35CC-524B-4552-BE2F-A10AC27C4B26}" name="Sektor_Thema" dataDxfId="483">
      <calculatedColumnFormula>CONCATENATE(EFs_Pendeln[[#This Row],[Thema]]," - ",EFs_Pendeln[[#This Row],[Bezeichnung]])</calculatedColumnFormula>
    </tableColumn>
    <tableColumn id="1" xr3:uid="{953424E6-AACD-4A7C-9EC8-B875F74D5844}" name="Thema" dataDxfId="482">
      <calculatedColumnFormula>"Pendeln_Mitarbeitende"</calculatedColumnFormula>
    </tableColumn>
    <tableColumn id="2" xr3:uid="{0E767B84-E0E0-4D13-8A3C-4FBCFBADB7BA}" name="Bezeichnung" dataDxfId="481"/>
    <tableColumn id="3" xr3:uid="{0DD2F961-5BDB-451D-BEBC-D829E3F43328}" name="Erfassungseinheit" dataDxfId="480"/>
    <tableColumn id="4" xr3:uid="{1518E237-4993-483B-878C-D52C3ED074E9}" name="EF Scope 1 CO2e_x000a_(kg CO2e/Einheit)" dataDxfId="479"/>
    <tableColumn id="5" xr3:uid="{9C3A36CF-7FDB-4FEE-9963-435BF20ADD16}" name="EF Scope 2 CO2e_x000a_(kg CO2e/Einheit)" dataDxfId="478"/>
    <tableColumn id="6" xr3:uid="{5E644400-C2CC-4613-BB09-9D9ED1E0FFCD}" name="EF Scope 3 CO2e_x000a_(kg CO2e/Einheit)" dataDxfId="477"/>
    <tableColumn id="10" xr3:uid="{BD0F3C30-8740-4FF2-A8F4-87E94EBB486D}" name="EF Scope 3 Nicht-CO2-Effekte_x000a_(kg CO2e/Einheit)" dataDxfId="476"/>
    <tableColumn id="11" xr3:uid="{3489AC6B-7CAC-4A35-A0AD-9AD71C703711}" name="Durchschnittliche PKW-Auslastung" dataDxfId="475"/>
    <tableColumn id="7" xr3:uid="{6296E15E-C4CC-4F21-92D8-1AFB8445D763}" name="Quelle Scope 1" dataDxfId="474"/>
    <tableColumn id="8" xr3:uid="{08476E6A-26E4-452E-B7AE-569B148CAA5B}" name="Quelle Scope 2" dataDxfId="473"/>
    <tableColumn id="9" xr3:uid="{1926F480-58C8-494E-8957-EA4A4AD9F006}" name="Quelle Scope 3" dataDxfId="472"/>
    <tableColumn id="12" xr3:uid="{7857205E-4672-4929-8BB4-8C0C17629793}" name="Kommentar" dataDxfId="471"/>
    <tableColumn id="13" xr3:uid="{5A9CA2FD-0490-471C-9BD7-5DA06B291075}" name="Scope 1 Kategorie" dataDxfId="470">
      <calculatedColumnFormula>"-"</calculatedColumnFormula>
    </tableColumn>
    <tableColumn id="14" xr3:uid="{940832D2-885A-483E-8BB6-C2921488FAA0}" name="Scope 2 Kategorie" dataDxfId="469">
      <calculatedColumnFormula>"-"</calculatedColumnFormula>
    </tableColumn>
    <tableColumn id="15" xr3:uid="{4355712C-E714-4FDE-AEC4-F235A12D17E0}" name="Scope 3 Kategorie" dataDxfId="468">
      <calculatedColumnFormula>"Kat. 7"</calculatedColumnFormula>
    </tableColumn>
  </tableColumns>
  <tableStyleInfo name="Tabelle KBK"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44D6FD5-22D5-4F9E-8B05-91BC711384A0}" name="EFs_Externe" displayName="EFs_Externe" ref="C172:R197" totalsRowShown="0" headerRowDxfId="467" dataDxfId="466" tableBorderDxfId="465">
  <tableColumns count="16">
    <tableColumn id="16" xr3:uid="{CA88900F-CF68-4D2C-AB0C-8EEF3E7D233E}" name="Sektor_Thema" dataDxfId="464">
      <calculatedColumnFormula>CONCATENATE(EFs_Externe[[#This Row],[Thema]]," - ",EFs_Externe[[#This Row],[Bezeichnung]])</calculatedColumnFormula>
    </tableColumn>
    <tableColumn id="1" xr3:uid="{2384F61D-A3A1-435E-B3E0-BFAB1CCC7A58}" name="Thema" dataDxfId="463">
      <calculatedColumnFormula>"Externe"</calculatedColumnFormula>
    </tableColumn>
    <tableColumn id="2" xr3:uid="{C3CBD152-5AA5-404E-8040-7F3203092655}" name="Bezeichnung" dataDxfId="462"/>
    <tableColumn id="3" xr3:uid="{39C01820-D057-49B9-9C1F-675245A77594}" name="Erfassungseinheit" dataDxfId="461"/>
    <tableColumn id="4" xr3:uid="{D7635F74-3B12-41AB-AE67-942D0D290E32}" name="EF Scope 1 CO2e_x000a_(kg CO2e/Einheit)" dataDxfId="460"/>
    <tableColumn id="5" xr3:uid="{C5978947-B194-4D9C-8BC7-717438DF0B34}" name="EF Scope 2 CO2e_x000a_(kg CO2e/Einheit)" dataDxfId="459"/>
    <tableColumn id="6" xr3:uid="{FBEE5960-EF0E-4E85-8277-F2F6F3704C00}" name="EF Scope 3 CO2e_x000a_(kg CO2e/Einheit)" dataDxfId="458"/>
    <tableColumn id="10" xr3:uid="{4D2691B0-E798-432D-8B6F-891923CCED15}" name="EF Scope 3 Nicht-CO2-Effekte_x000a_(kg CO2e/Einheit)" dataDxfId="457"/>
    <tableColumn id="11" xr3:uid="{F254CD9C-51ED-4D1B-9587-C572072733E5}" name="Durchschnittliche PKW-Auslastung" dataDxfId="456"/>
    <tableColumn id="7" xr3:uid="{EADE86F3-8BF1-4164-8B49-56CBDFB2A259}" name="Quelle Scope 1" dataDxfId="455"/>
    <tableColumn id="8" xr3:uid="{C47BEC31-CC83-4C4A-8433-F901D6E18F36}" name="Quelle Scope 2" dataDxfId="454"/>
    <tableColumn id="9" xr3:uid="{13769F34-D214-4348-A44F-3F29AC28598A}" name="Quelle Scope 3" dataDxfId="453"/>
    <tableColumn id="12" xr3:uid="{8DE4D14C-FCCC-4B1F-B31A-91723B5382ED}" name="Kommentar" dataDxfId="452"/>
    <tableColumn id="13" xr3:uid="{A332F4CC-A2F4-41F6-B2BB-AF90FFDBA18F}" name="Scope 1 Kategorie" dataDxfId="451">
      <calculatedColumnFormula>"-"</calculatedColumnFormula>
    </tableColumn>
    <tableColumn id="14" xr3:uid="{BCD06962-AAD7-41FE-B226-04F4E68CEE00}" name="Scope 2 Kategorie" dataDxfId="450">
      <calculatedColumnFormula>"-"</calculatedColumnFormula>
    </tableColumn>
    <tableColumn id="15" xr3:uid="{ED0684EB-E29F-4682-A485-98DBA58111F5}" name="Scope 3 Kategorie" dataDxfId="449">
      <calculatedColumnFormula>"Kat. 1"</calculatedColumnFormula>
    </tableColumn>
  </tableColumns>
  <tableStyleInfo name="Tabelle KBK"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40A8518-9309-4801-9733-E6718054E6A4}" name="EFs_Warentransporte" displayName="EFs_Warentransporte" ref="C199:Q224" totalsRowShown="0" headerRowDxfId="448" dataDxfId="447" tableBorderDxfId="446">
  <tableColumns count="15">
    <tableColumn id="16" xr3:uid="{22E0887E-2A24-4F29-945D-1821175B6C8A}" name="Sektor_Thema" dataDxfId="445">
      <calculatedColumnFormula>CONCATENATE(EFs_Warentransporte[[#This Row],[Thema]]," - ",EFs_Warentransporte[[#This Row],[Bezeichnung]])</calculatedColumnFormula>
    </tableColumn>
    <tableColumn id="1" xr3:uid="{AE27AB49-1CA2-4994-BF1C-9172A4B2BC8A}" name="Thema" dataDxfId="444">
      <calculatedColumnFormula>"Warentransporte"</calculatedColumnFormula>
    </tableColumn>
    <tableColumn id="2" xr3:uid="{DAAC08CE-824E-4BB5-A5B1-E1FB4183A548}" name="Bezeichnung" dataDxfId="443"/>
    <tableColumn id="3" xr3:uid="{0C0938B5-F999-4A1D-892D-3A3F21AB1969}" name="Erfassungseinheit" dataDxfId="442"/>
    <tableColumn id="4" xr3:uid="{2B25E605-7946-4AB4-8D11-94E71C488337}" name="EF Scope 1 CO2e_x000a_(kg CO2e/Einheit)" dataDxfId="441"/>
    <tableColumn id="5" xr3:uid="{1296FC0A-3360-48F1-874E-173AA8AAA13B}" name="EF Scope 2 CO2e_x000a_(kg CO2e/Einheit)" dataDxfId="440"/>
    <tableColumn id="6" xr3:uid="{90DE7AD5-A633-44D1-B6B8-74BD0DEC9E5D}" name="EF Scope 3 CO2e_x000a_(kg CO2e/Einheit)" dataDxfId="439"/>
    <tableColumn id="10" xr3:uid="{652956AB-0406-442F-B704-B8017C14E6FF}" name="EF Scope 3 Nicht-CO2-Effekte_x000a_(kg CO2e/Einheit)" dataDxfId="438"/>
    <tableColumn id="7" xr3:uid="{68B812AB-F53A-4882-9702-147CC1260944}" name="Quelle Scope 1" dataDxfId="437"/>
    <tableColumn id="8" xr3:uid="{C9DE3311-2A27-4266-9489-2F382CEBA947}" name="Quelle Scope 2" dataDxfId="436"/>
    <tableColumn id="9" xr3:uid="{7BC56EB0-2FF8-4C81-8007-87D134EF350B}" name="Quelle Scope 3" dataDxfId="435"/>
    <tableColumn id="12" xr3:uid="{1DCCA4F3-157F-4667-8EE2-C697195D0A7E}" name="Kommentar" dataDxfId="434"/>
    <tableColumn id="13" xr3:uid="{2F3D524C-141F-4C83-85C4-CB79EB85F9BD}" name="Scope 1 Kategorie" dataDxfId="433">
      <calculatedColumnFormula>"-"</calculatedColumnFormula>
    </tableColumn>
    <tableColumn id="14" xr3:uid="{6B21996D-2E19-464E-A901-C3C42E2F9F2E}" name="Scope 2 Kategorie" dataDxfId="432">
      <calculatedColumnFormula>"-"</calculatedColumnFormula>
    </tableColumn>
    <tableColumn id="15" xr3:uid="{DFE26B12-3F99-40AC-9028-67E567A36082}" name="Scope 3 Kategorie" dataDxfId="431">
      <calculatedColumnFormula>"Kat. 4"</calculatedColumnFormula>
    </tableColumn>
  </tableColumns>
  <tableStyleInfo name="Tabelle KBK"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3AF82B4-E032-4B44-8C2A-967182EDC102}" name="EFs_Besuchende" displayName="EFs_Besuchende" ref="C244:R268" totalsRowShown="0" headerRowDxfId="430" dataDxfId="429" tableBorderDxfId="428">
  <tableColumns count="16">
    <tableColumn id="16" xr3:uid="{0005A6E0-74BE-447A-8397-FC50BDEEAAA9}" name="Sektor_Thema" dataDxfId="427">
      <calculatedColumnFormula>CONCATENATE(EFs_Besuchende[[#This Row],[Thema]]," - ",EFs_Besuchende[[#This Row],[Bezeichnung]])</calculatedColumnFormula>
    </tableColumn>
    <tableColumn id="1" xr3:uid="{18154D6B-8257-434D-918F-F714123EF17C}" name="Thema" dataDxfId="426">
      <calculatedColumnFormula>"Anreise_Besuchende"</calculatedColumnFormula>
    </tableColumn>
    <tableColumn id="2" xr3:uid="{D2B7F6E4-2AD7-4032-AC01-49819555F190}" name="Bezeichnung" dataDxfId="425"/>
    <tableColumn id="3" xr3:uid="{A49ADCDE-A7F1-4CC2-9C50-6F6D5DCBFB2E}" name="Erfassungseinheit" dataDxfId="424"/>
    <tableColumn id="4" xr3:uid="{8ACBB942-19BF-4481-8963-DFDB894E4A98}" name="EF Scope 1 CO2e_x000a_(kg CO2e/Einheit)" dataDxfId="423"/>
    <tableColumn id="5" xr3:uid="{B9C1577D-2B21-40DC-BAAE-DD5E988AC29F}" name="EF Scope 2 CO2e_x000a_(kg CO2e/Einheit)" dataDxfId="422"/>
    <tableColumn id="6" xr3:uid="{DB559EE7-ECEA-4A80-89DD-6141713C70DD}" name="EF Scope 3 CO2e_x000a_(kg CO2e/Einheit)" dataDxfId="421"/>
    <tableColumn id="10" xr3:uid="{BDA97897-34C3-4EA4-BD51-1D1FCAA8526A}" name="EF Scope 3 Nicht-CO2-Effekte_x000a_(kg CO2e/Einheit)" dataDxfId="420"/>
    <tableColumn id="11" xr3:uid="{7706AEA6-4409-489B-B247-A974C7749525}" name="Durchschnittliche PKW-Auslastung" dataDxfId="419"/>
    <tableColumn id="7" xr3:uid="{3FD0D9C9-B6AE-46F9-AB51-CB481AA85214}" name="Quelle Scope 1" dataDxfId="418"/>
    <tableColumn id="8" xr3:uid="{E1754CF9-9A99-4523-B9EA-164AC56E6626}" name="Quelle Scope 2" dataDxfId="417"/>
    <tableColumn id="9" xr3:uid="{F345B3E5-738A-4A65-AC2A-1841F0C90796}" name="Quelle Scope 3" dataDxfId="416"/>
    <tableColumn id="12" xr3:uid="{ED4FD84B-45E3-4FF4-A688-6B9BA87443CD}" name="Kommentar" dataDxfId="415"/>
    <tableColumn id="13" xr3:uid="{52B8ABC9-EB95-4520-B623-4C5B4070A5EC}" name="Scope 1 Kategorie" dataDxfId="414">
      <calculatedColumnFormula>"-"</calculatedColumnFormula>
    </tableColumn>
    <tableColumn id="14" xr3:uid="{B7DBD8CD-2DF4-4E69-8969-F95E2AAD728F}" name="Scope 2 Kategorie" dataDxfId="413">
      <calculatedColumnFormula>"-"</calculatedColumnFormula>
    </tableColumn>
    <tableColumn id="15" xr3:uid="{9E9DD8C1-D7E4-4AB6-9245-4DA2D6EAB10F}" name="Scope 3 Kategorie" dataDxfId="412">
      <calculatedColumnFormula>"Kat. 9"</calculatedColumnFormula>
    </tableColumn>
  </tableColumns>
  <tableStyleInfo name="Tabelle KBK"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5C39CEE-BE06-412B-BB3A-299B3F03F904}" name="EFs_Medien" displayName="EFs_Medien" ref="C226:P242" totalsRowShown="0" headerRowDxfId="411" dataDxfId="410" tableBorderDxfId="409">
  <tableColumns count="14">
    <tableColumn id="16" xr3:uid="{114DE6A3-352D-4889-BBC2-DE0A09235D11}" name="Sektor_Thema" dataDxfId="408">
      <calculatedColumnFormula>CONCATENATE(EFs_Medien[[#This Row],[Thema]]," - ",EFs_Medien[[#This Row],[Bezeichnung]])</calculatedColumnFormula>
    </tableColumn>
    <tableColumn id="1" xr3:uid="{ACB8ABBC-1EA2-4D63-B53F-5B65CCD29662}" name="Thema" dataDxfId="407">
      <calculatedColumnFormula>"Medien"</calculatedColumnFormula>
    </tableColumn>
    <tableColumn id="2" xr3:uid="{B3E7052D-6272-46F7-9A1F-5AC9AF459C19}" name="Bezeichnung" dataDxfId="406"/>
    <tableColumn id="3" xr3:uid="{8C895176-4CFF-45A8-9B40-AE54885B6F5D}" name="Erfassungseinheit" dataDxfId="405"/>
    <tableColumn id="4" xr3:uid="{F1F4D783-0D15-4D85-9908-50AFF0D23680}" name="EF Scope 1 CO2e_x000a_(kg CO2e/Einheit)" dataDxfId="404"/>
    <tableColumn id="5" xr3:uid="{ADAA9666-3052-4A65-8FBA-AEEF9ED9270F}" name="EF Scope 2 CO2e_x000a_(kg CO2e/Einheit)" dataDxfId="403"/>
    <tableColumn id="6" xr3:uid="{3C46A890-1F92-4748-9487-0A7F9D2E7A02}" name="EF Scope 3 CO2e_x000a_(kg CO2e/Einheit)" dataDxfId="402"/>
    <tableColumn id="7" xr3:uid="{714BCF2A-46EC-4CBF-9A01-1E2410FA12D8}" name="Quelle Scope 1" dataDxfId="401"/>
    <tableColumn id="8" xr3:uid="{02EC6BE3-97DA-44DB-A7AF-980D106D88C9}" name="Quelle Scope 2" dataDxfId="400"/>
    <tableColumn id="9" xr3:uid="{F604FB8E-877B-4A9E-87FB-A9BBD36C6541}" name="Quelle Scope 3" dataDxfId="399"/>
    <tableColumn id="12" xr3:uid="{9066A5D1-43FB-46F9-8EDE-B4725B3F16E4}" name="Kommentar" dataDxfId="398"/>
    <tableColumn id="13" xr3:uid="{D4320376-7EF6-4F22-81E1-3D287212E32B}" name="Scope 1 Kategorie" dataDxfId="397">
      <calculatedColumnFormula>"-"</calculatedColumnFormula>
    </tableColumn>
    <tableColumn id="14" xr3:uid="{36415ACC-6EA5-4316-8CF9-520818A6C244}" name="Scope 2 Kategorie" dataDxfId="396">
      <calculatedColumnFormula>"-"</calculatedColumnFormula>
    </tableColumn>
    <tableColumn id="15" xr3:uid="{F8969216-279F-4FC8-82E2-7F932F40B8A2}" name="Scope 3 Kategorie" dataDxfId="395">
      <calculatedColumnFormula>"Kat. 1"</calculatedColumnFormula>
    </tableColumn>
  </tableColumns>
  <tableStyleInfo name="Tabelle KBK"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302237F-14B0-448C-B749-1BB99C80C401}" name="EFs_IT" displayName="EFs_IT" ref="C270:P282" totalsRowShown="0" headerRowDxfId="394" dataDxfId="393" tableBorderDxfId="392">
  <tableColumns count="14">
    <tableColumn id="16" xr3:uid="{13EABC4A-95DC-4520-8855-ED1BD347BD4C}" name="Sektor_Thema" dataDxfId="391">
      <calculatedColumnFormula>CONCATENATE(EFs_IT[[#This Row],[Thema]]," - ",EFs_IT[[#This Row],[Bezeichnung]])</calculatedColumnFormula>
    </tableColumn>
    <tableColumn id="1" xr3:uid="{E8A8C7A6-8A75-40CB-9318-594DA3034D27}" name="Thema" dataDxfId="390">
      <calculatedColumnFormula>"IT_Dienstleistungen"</calculatedColumnFormula>
    </tableColumn>
    <tableColumn id="2" xr3:uid="{DEC08A04-4DD5-4954-AE74-124DE6DC1923}" name="Bezeichnung" dataDxfId="389"/>
    <tableColumn id="3" xr3:uid="{ECF8A34C-B3F5-4001-A222-ADE180244C6F}" name="Erfassungseinheit" dataDxfId="388"/>
    <tableColumn id="4" xr3:uid="{59366C74-D9E4-456A-923B-6F99D1464BC3}" name="EF Scope 1 CO2e_x000a_(kg CO2e/Einheit)" dataDxfId="387"/>
    <tableColumn id="5" xr3:uid="{9065E800-9653-4D93-BCD5-F29E66AEAEE8}" name="EF Scope 2 CO2e_x000a_(kg CO2e/Einheit)" dataDxfId="386"/>
    <tableColumn id="6" xr3:uid="{766B22DC-2892-4FC7-A02B-D8CCDCCF0B44}" name="EF Scope 3 CO2e_x000a_(kg CO2e/Einheit)" dataDxfId="385"/>
    <tableColumn id="7" xr3:uid="{AB3308D8-B124-444F-95D6-39E91DF56AD3}" name="Quelle Scope 1" dataDxfId="384"/>
    <tableColumn id="8" xr3:uid="{0482278B-10B9-4F5D-945A-0BF0125EE6E4}" name="Quelle Scope 2" dataDxfId="383"/>
    <tableColumn id="9" xr3:uid="{534D105C-A66D-442F-95C0-ADC1958F71F4}" name="Quelle Scope 3" dataDxfId="382"/>
    <tableColumn id="12" xr3:uid="{10DB9C4A-0430-415E-BC7B-A9B996E64F9C}" name="Kommentar" dataDxfId="381"/>
    <tableColumn id="13" xr3:uid="{FF3FA809-0C12-475A-9E09-D5BB1220C8C2}" name="Scope 1 Kategorie" dataDxfId="380">
      <calculatedColumnFormula>"-"</calculatedColumnFormula>
    </tableColumn>
    <tableColumn id="14" xr3:uid="{7BB17224-DB90-4E67-ADDA-31F4138439DE}" name="Scope 2 Kategorie" dataDxfId="379">
      <calculatedColumnFormula>"-"</calculatedColumnFormula>
    </tableColumn>
    <tableColumn id="15" xr3:uid="{E13A9FF0-526D-43D5-A0FC-F0CE80BE887D}" name="Scope 3 Kategorie" dataDxfId="378">
      <calculatedColumnFormula>"Kat. 1"</calculatedColumnFormula>
    </tableColumn>
  </tableColumns>
  <tableStyleInfo name="Tabelle KBK"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0F93137-7755-4459-8B15-307A07E38E9C}" name="Strom" displayName="Strom" ref="C55:BX76" totalsRowCount="1" headerRowDxfId="1172" dataDxfId="1171" totalsRowDxfId="1170">
  <tableColumns count="74">
    <tableColumn id="20" xr3:uid="{84036BC1-A70E-44B9-9322-075827F71645}" name="Sektor_Thema" dataDxfId="351" totalsRowDxfId="276">
      <calculatedColumnFormula>$C$54</calculatedColumnFormula>
    </tableColumn>
    <tableColumn id="3" xr3:uid="{358D634F-FFB3-4633-A295-A3FB26469E9E}" name="Zuordnung Gliederungselement (Dropdown)" totalsRowLabel="Summe" dataDxfId="350" totalsRowDxfId="275"/>
    <tableColumn id="4" xr3:uid="{206E9B4D-A231-4EB6-BAF2-FEB5C7A7DE7E}" name="Emissionsquelle/Aktivität (Dropdown)" dataDxfId="349" totalsRowDxfId="274"/>
    <tableColumn id="6" xr3:uid="{94268756-D7A0-4C21-808E-0F5F5B9C4381}" name="Wert _x000a_(Zahl)" dataDxfId="348" totalsRowDxfId="273"/>
    <tableColumn id="5" xr3:uid="{8E983AC2-27EB-4F92-875A-ADF62E2FE9BD}" name="Einheit _x000a_(vorausgefüllt)" dataDxfId="347" totalsRowDxfId="272">
      <calculatedColumnFormula>IFERROR(VLOOKUP(Strom[[#This Row],[Thema_Bezeichung]],EFs_Strom[],4,FALSE),"")</calculatedColumnFormula>
    </tableColumn>
    <tableColumn id="7" xr3:uid="{E6B18DA3-C172-4E48-80C8-98A0E3A8E5E0}" name="Datenqualität Wert (Dropdown)" dataDxfId="346" totalsRowDxfId="271"/>
    <tableColumn id="2" xr3:uid="{C528103B-8A6D-421E-BAC0-A3BBB8FD87B1}" name="Scope-2-Emissionsfaktor Vertragsstrommix_x000a_[g CO2e/kWh]_x000a_(falls verfügbar)" dataDxfId="345" totalsRowDxfId="270"/>
    <tableColumn id="8" xr3:uid="{2FE0E40E-E770-4A26-B75F-BC4BD627A5D7}" name="Notiz - Datenquelle _x000a_(Text)" dataDxfId="344" totalsRowDxfId="269"/>
    <tableColumn id="9" xr3:uid="{F8BB6D31-0FFC-41BE-BD10-F0CCF8246E51}" name="Notiz - Kommentar _x000a_(Text)" dataDxfId="343" totalsRowDxfId="268"/>
    <tableColumn id="27" xr3:uid="{BB5E953F-6AD1-47C7-BCF5-BAD7C087F996}" name="Ergebnis_x000a_[kg CO2e]_x000a_(vorausgefüllt)" totalsRowFunction="sum" dataDxfId="342" totalsRowDxfId="267">
      <calculatedColumnFormula>IF(ISBLANK(Strom[[#This Row],[Wert 
(Zahl)]]),"", SUM(Strom[[#This Row],[Scope 1 CO2e '[kg CO2e']]],Strom[[#This Row],[Scope 2 CO2e '[kg CO2e']]],Strom[[#This Row],[Scope 3 CO2e '[kg CO2e']]]))</calculatedColumnFormula>
    </tableColumn>
    <tableColumn id="21" xr3:uid="{4A503FD4-EC33-4C8A-8759-2785F08FB0B9}" name="Ergebnis Scope 2 market-based_x000a_[kg CO2e]_x000a_(vorausgefüllt)" totalsRowFunction="sum" dataDxfId="278" totalsRowDxfId="266">
      <calculatedColumnFormula>IF(OR(ISBLANK(Strom[[#This Row],[Wert 
(Zahl)]]),Strom[[#This Row],[Emissionsquelle/Aktivität (Dropdown)]]&lt;&gt;"Strombezug (Deutschland)"),"", SUM(Strom[[#This Row],[Scope 1 CO2e '[kg CO2e']]],Strom[[#This Row],[Scope 2 CO2e market-based '[kg CO2e']]],Strom[[#This Row],[Scope 3 CO2e '[kg CO2e']]]))</calculatedColumnFormula>
    </tableColumn>
    <tableColumn id="68" xr3:uid="{8CE88A5D-E500-4FA1-ACD2-40E95C72A8C0}" name="Spalte1" dataDxfId="341" totalsRowDxfId="265"/>
    <tableColumn id="28" xr3:uid="{66165A44-90EB-4F2C-AD05-5CC94C5CAB4A}" name="Thema_Bezeichung" dataDxfId="340" totalsRowDxfId="264">
      <calculatedColumnFormula>IF(ISBLANK(Strom[[#This Row],[Emissionsquelle/Aktivität (Dropdown)]]),"",CONCATENATE(Strom[[#This Row],[Sektor_Thema]]," - ",Strom[[#This Row],[Emissionsquelle/Aktivität (Dropdown)]]))</calculatedColumnFormula>
    </tableColumn>
    <tableColumn id="1" xr3:uid="{5711CA12-954D-464E-AFDC-5D7D01193500}" name="Vertragsstrommix angegegeben?" dataDxfId="339" totalsRowDxfId="263">
      <calculatedColumnFormula>IF(ISBLANK(Strom[[#This Row],[Emissionsquelle/Aktivität (Dropdown)]]),"",AND(Strom[[#This Row],[Emissionsquelle/Aktivität (Dropdown)]]="Strombezug (Deutschland)",ISNUMBER(Strom[[#This Row],[Scope-2-Emissionsfaktor Vertragsstrommix
'[g CO2e/kWh']
(falls verfügbar)]])))</calculatedColumnFormula>
    </tableColumn>
    <tableColumn id="10" xr3:uid="{0CCE5925-CB02-42BD-9F0B-372BF626776E}" name="EF Scope 1 CO2e_x000a_(kg CO2e/Einheit)" dataDxfId="338" totalsRowDxfId="262">
      <calculatedColumnFormula>IFERROR(VLOOKUP(Strom[[#This Row],[Thema_Bezeichung]],EFs_Strom[],5,FALSE),"")</calculatedColumnFormula>
    </tableColumn>
    <tableColumn id="31" xr3:uid="{63CDC3A3-E1E5-4BBB-ADE3-C688C2C0B373}" name="EF Scope 1 CO2_x000a_(kg CO2/Einheit)" dataDxfId="337" totalsRowDxfId="261">
      <calculatedColumnFormula>IFERROR(VLOOKUP(Strom[[#This Row],[Thema_Bezeichung]],EFs_Strom[],6,FALSE),"")</calculatedColumnFormula>
    </tableColumn>
    <tableColumn id="30" xr3:uid="{B80388B7-1A92-4023-A829-1FEFC188D329}" name="EF Scope 1 CH4_x000a_(kg CH4/Einheit)" dataDxfId="336" totalsRowDxfId="260">
      <calculatedColumnFormula>IFERROR(VLOOKUP(Strom[[#This Row],[Thema_Bezeichung]],EFs_Strom[],7,FALSE),"")</calculatedColumnFormula>
    </tableColumn>
    <tableColumn id="29" xr3:uid="{6D7DBCD4-24CA-402F-B606-14568948588A}" name="EF Scope 1 N2O_x000a_(kg N2O/Einheit)" dataDxfId="335" totalsRowDxfId="259">
      <calculatedColumnFormula>IFERROR(VLOOKUP(Strom[[#This Row],[Thema_Bezeichung]],EFs_Strom[],8,FALSE),"")</calculatedColumnFormula>
    </tableColumn>
    <tableColumn id="26" xr3:uid="{9E3BF62C-C4C6-4B89-84DB-F9527B6987C4}" name="EF Scope 1 HFCs_x000a_(kg HFCs/Einheit)" dataDxfId="334" totalsRowDxfId="258">
      <calculatedColumnFormula>IFERROR(VLOOKUP(Strom[[#This Row],[Thema_Bezeichung]],EFs_Strom[],9,FALSE),"")</calculatedColumnFormula>
    </tableColumn>
    <tableColumn id="25" xr3:uid="{50452889-AFBC-46EA-B374-7FBE493589BB}" name="EF Scope 1 PFCs_x000a_(kg PFCs/Einheit)" dataDxfId="333" totalsRowDxfId="257">
      <calculatedColumnFormula>IFERROR(VLOOKUP(Strom[[#This Row],[Thema_Bezeichung]],EFs_Strom[],10,FALSE),"")</calculatedColumnFormula>
    </tableColumn>
    <tableColumn id="24" xr3:uid="{960F7E73-F628-480B-A37E-C34BF830FA60}" name="EF Scope 1 SF6_x000a_(kg SF6/Einheit)" dataDxfId="332" totalsRowDxfId="256">
      <calculatedColumnFormula>IFERROR(VLOOKUP(Strom[[#This Row],[Thema_Bezeichung]],EFs_Strom[],11,FALSE),"")</calculatedColumnFormula>
    </tableColumn>
    <tableColumn id="14" xr3:uid="{95F7AE96-32AC-486D-938D-896D3A96AE3F}" name="EF Scope 1 NF3_x000a_(kg NF3/Einheit)" dataDxfId="331" totalsRowDxfId="255">
      <calculatedColumnFormula>IFERROR(VLOOKUP(Strom[[#This Row],[Thema_Bezeichung]],EFs_Strom[],12,FALSE),"")</calculatedColumnFormula>
    </tableColumn>
    <tableColumn id="69" xr3:uid="{607538B1-5A59-4E01-83CD-999541E1A49D}" name="EF Scope 1 Nicht-Kyoto-Gase (kg Nicht-Kyoto-Gase/Einheit)" dataDxfId="330" totalsRowDxfId="254">
      <calculatedColumnFormula>IFERROR(VLOOKUP(Strom[[#This Row],[Thema_Bezeichung]],EFs_Strom[],13,FALSE),"")</calculatedColumnFormula>
    </tableColumn>
    <tableColumn id="13" xr3:uid="{C73BBBB2-1975-4DF2-B65F-03432CDE57CE}" name="EF Scope 1 CO2 biogen_x000a_(kg CO2 /Einheit)" dataDxfId="329" totalsRowDxfId="253">
      <calculatedColumnFormula>IFERROR(VLOOKUP(Strom[[#This Row],[Thema_Bezeichung]],EFs_Strom[],14,FALSE),"")</calculatedColumnFormula>
    </tableColumn>
    <tableColumn id="11" xr3:uid="{C01E352D-7205-4D48-A315-2C31DCB27B28}" name="EF Scope 2 CO2e_x000a_(kg CO2e/Einheit)" dataDxfId="328" totalsRowDxfId="252">
      <calculatedColumnFormula>IFERROR(VLOOKUP(Strom[[#This Row],[Thema_Bezeichung]],EFs_Strom[],15,FALSE),"")</calculatedColumnFormula>
    </tableColumn>
    <tableColumn id="15" xr3:uid="{C21B6EF3-8D42-40C4-A0F5-E857EE31E733}" name="Scope 2 Emissionsfaktor market-based [kg CO2e/Einheit]" dataDxfId="327" totalsRowDxfId="251">
      <calculatedColumnFormula>IF(Strom[[#This Row],[Vertragsstrommix angegegeben?]]=TRUE,Strom[[#This Row],[Scope-2-Emissionsfaktor Vertragsstrommix
'[g CO2e/kWh']
(falls verfügbar)]]/1000,IFERROR(VLOOKUP(Strom[[#This Row],[Thema_Bezeichung]],EFs_Strom[],15,FALSE),""))</calculatedColumnFormula>
    </tableColumn>
    <tableColumn id="38" xr3:uid="{E628FF24-89DE-451A-B3F5-5D77741480C0}" name="EF Scope 2 CO2_x000a_(kg CO2/Einheit)" dataDxfId="326" totalsRowDxfId="250">
      <calculatedColumnFormula>IFERROR(VLOOKUP(Strom[[#This Row],[Thema_Bezeichung]],EFs_Strom[],16,FALSE),"")</calculatedColumnFormula>
    </tableColumn>
    <tableColumn id="37" xr3:uid="{69D7D118-6F4B-42AF-88A9-E407BD0271D8}" name="EF Scope 2 CH4_x000a_(kg CH4/Einheit)" dataDxfId="325" totalsRowDxfId="249">
      <calculatedColumnFormula>IFERROR(VLOOKUP(Strom[[#This Row],[Thema_Bezeichung]],EFs_Strom[],17,FALSE),"")</calculatedColumnFormula>
    </tableColumn>
    <tableColumn id="36" xr3:uid="{E8CFD2E7-D7D8-4978-857D-7E94187F3E8C}" name="EF Scope 2 N2O_x000a_(kg N2O/Einheit)" dataDxfId="324" totalsRowDxfId="248">
      <calculatedColumnFormula>IFERROR(VLOOKUP(Strom[[#This Row],[Thema_Bezeichung]],EFs_Strom[],18,FALSE),"")</calculatedColumnFormula>
    </tableColumn>
    <tableColumn id="35" xr3:uid="{C52DFE7D-8ADA-4167-B2F9-F210AD0F3CE0}" name="EF Scope 2 HFCs_x000a_(kg HFCs/Einheit)" dataDxfId="323" totalsRowDxfId="247">
      <calculatedColumnFormula>IFERROR(VLOOKUP(Strom[[#This Row],[Thema_Bezeichung]],EFs_Strom[],19,FALSE),"")</calculatedColumnFormula>
    </tableColumn>
    <tableColumn id="34" xr3:uid="{E402BDEB-1D8C-46C1-B788-4804212688D2}" name="EF Scope 2 PFCs_x000a_(kg PFCs/Einheit)" dataDxfId="322" totalsRowDxfId="246">
      <calculatedColumnFormula>IFERROR(VLOOKUP(Strom[[#This Row],[Thema_Bezeichung]],EFs_Strom[],20,FALSE),"")</calculatedColumnFormula>
    </tableColumn>
    <tableColumn id="33" xr3:uid="{3171B89E-AB09-497D-9AD5-FCB11060316C}" name="EF Scope 2 SF6_x000a_(kg SF6/Einheit)" dataDxfId="321" totalsRowDxfId="245">
      <calculatedColumnFormula>IFERROR(VLOOKUP(Strom[[#This Row],[Thema_Bezeichung]],EFs_Strom[],21,FALSE),"")</calculatedColumnFormula>
    </tableColumn>
    <tableColumn id="32" xr3:uid="{867F05A4-22E2-4C91-A123-A9F9549E21C8}" name="EF Scope 2 NF3_x000a_(kg NF3/Einheit)" dataDxfId="320" totalsRowDxfId="244">
      <calculatedColumnFormula>IFERROR(VLOOKUP(Strom[[#This Row],[Thema_Bezeichung]],EFs_Strom[],22,FALSE),"")</calculatedColumnFormula>
    </tableColumn>
    <tableColumn id="70" xr3:uid="{6D716C02-4A2D-4210-B435-7F8F0C3C287C}" name="EF Scope 2 Nicht-Kyoto-Gase (kg Nicht-Kyoto-Gase/Einheit)" dataDxfId="319" totalsRowDxfId="243">
      <calculatedColumnFormula>IFERROR(VLOOKUP(Strom[[#This Row],[Thema_Bezeichung]],EFs_Strom[],23,FALSE),"")</calculatedColumnFormula>
    </tableColumn>
    <tableColumn id="12" xr3:uid="{C40CB4F2-CB76-47B5-8935-F1034E255466}" name="EF Scope 3 CO2e_x000a_(kg CO2e/Einheit)" dataDxfId="318" totalsRowDxfId="242">
      <calculatedColumnFormula>IFERROR(VLOOKUP(Strom[[#This Row],[Thema_Bezeichung]],EFs_Strom[],24,FALSE),"")</calculatedColumnFormula>
    </tableColumn>
    <tableColumn id="22" xr3:uid="{D739566E-837D-47F0-816A-E12166C94498}" name="Vermeidungsfaktor [kg CO2e/Einheit]" dataDxfId="317" totalsRowDxfId="241">
      <calculatedColumnFormula>IFERROR(VLOOKUP(Strom[[#This Row],[Thema_Bezeichung]],EFs_Strom[],30,FALSE),"")</calculatedColumnFormula>
    </tableColumn>
    <tableColumn id="16" xr3:uid="{E41A66BD-0B0E-437C-8B60-852329DDE6C1}" name="Scope 1 CO2e [kg CO2e]" totalsRowFunction="sum" dataDxfId="316" totalsRowDxfId="240">
      <calculatedColumnFormula>IFERROR(Strom[[#This Row],[Wert 
(Zahl)]]*Strom[[#This Row],[EF Scope 1 CO2e
(kg CO2e/Einheit)]],"")</calculatedColumnFormula>
    </tableColumn>
    <tableColumn id="17" xr3:uid="{82F1FAF8-60E5-4717-AD23-ECE1CC93C22E}" name="Scope 2 CO2e [kg CO2e]" totalsRowFunction="sum" dataDxfId="315" totalsRowDxfId="239">
      <calculatedColumnFormula>IFERROR(Strom[[#This Row],[Wert 
(Zahl)]]*Strom[[#This Row],[EF Scope 2 CO2e
(kg CO2e/Einheit)]],"")</calculatedColumnFormula>
    </tableColumn>
    <tableColumn id="18" xr3:uid="{9B2F46DB-9AC6-4298-B96B-041C15D0FE46}" name="Scope 3 CO2e [kg CO2e]" totalsRowFunction="sum" dataDxfId="314" totalsRowDxfId="238">
      <calculatedColumnFormula>IFERROR(Strom[[#This Row],[Wert 
(Zahl)]]*Strom[[#This Row],[EF Scope 3 CO2e
(kg CO2e/Einheit)]],"")</calculatedColumnFormula>
    </tableColumn>
    <tableColumn id="39" xr3:uid="{FD2D3A62-560D-4FF7-B6D4-22EEB76FDA2D}" name="Scope 1 CO2 biogen [kg CO2]" totalsRowFunction="sum" dataDxfId="313" totalsRowDxfId="237">
      <calculatedColumnFormula>IFERROR(Strom[[#This Row],[Wert 
(Zahl)]]*Strom[[#This Row],[EF Scope 1 CO2 biogen
(kg CO2 /Einheit)]],"")</calculatedColumnFormula>
    </tableColumn>
    <tableColumn id="19" xr3:uid="{8C47B042-803D-49F8-A73E-C56BA7030031}" name="Scope 2 CO2e market-based [kg CO2e]" totalsRowFunction="sum" dataDxfId="312" totalsRowDxfId="236">
      <calculatedColumnFormula>IFERROR(Strom[[#This Row],[Wert 
(Zahl)]]*Strom[[#This Row],[Scope 2 Emissionsfaktor market-based '[kg CO2e/Einheit']]],"")</calculatedColumnFormula>
    </tableColumn>
    <tableColumn id="23" xr3:uid="{EBA79B11-296B-4A11-B1E2-125A304070B1}" name="Vermiedene Emissionen [kg CO2e]" totalsRowFunction="sum" dataDxfId="311" totalsRowDxfId="235">
      <calculatedColumnFormula>IFERROR(Strom[[#This Row],[Vermeidungsfaktor '[kg CO2e/Einheit']]]*Strom[[#This Row],[Wert 
(Zahl)]],"")</calculatedColumnFormula>
    </tableColumn>
    <tableColumn id="40" xr3:uid="{E645D29B-88F8-4F51-A25A-88FA7FCDB5C0}" name="Scope 1 CO2 [kg CO2]" totalsRowFunction="sum" dataDxfId="310" totalsRowDxfId="234">
      <calculatedColumnFormula>IFERROR(Strom[[#This Row],[Wert 
(Zahl)]]*Strom[[#This Row],[EF Scope 1 CO2
(kg CO2/Einheit)]],"")</calculatedColumnFormula>
    </tableColumn>
    <tableColumn id="41" xr3:uid="{B518D419-FB6F-4AF3-9E93-328FAC569BCD}" name="Scope 1 CH4 [kg CH4]" totalsRowFunction="sum" dataDxfId="309" totalsRowDxfId="233">
      <calculatedColumnFormula>IFERROR(Strom[[#This Row],[Wert 
(Zahl)]]*Strom[[#This Row],[EF Scope 1 CH4
(kg CH4/Einheit)]],"")</calculatedColumnFormula>
    </tableColumn>
    <tableColumn id="42" xr3:uid="{D06856B5-9B77-4071-BDD5-2521C523F44E}" name="Scope 1 N2O [kg N2O]" totalsRowFunction="sum" dataDxfId="308" totalsRowDxfId="232">
      <calculatedColumnFormula>IFERROR(Strom[[#This Row],[Wert 
(Zahl)]]*Strom[[#This Row],[EF Scope 1 N2O
(kg N2O/Einheit)]],"")</calculatedColumnFormula>
    </tableColumn>
    <tableColumn id="43" xr3:uid="{BC1D6A81-54B4-4922-90E5-721A01C2BCD4}" name="Scope 1 HFCs [kg HFCs]" totalsRowFunction="sum" dataDxfId="307" totalsRowDxfId="231">
      <calculatedColumnFormula>IFERROR(Strom[[#This Row],[Wert 
(Zahl)]]*Strom[[#This Row],[EF Scope 1 HFCs
(kg HFCs/Einheit)]],"")</calculatedColumnFormula>
    </tableColumn>
    <tableColumn id="44" xr3:uid="{85159D86-5995-4FFD-BAF8-AB9F516916A4}" name="Scope 1 PFCs [kg PFCs]" totalsRowFunction="sum" dataDxfId="306" totalsRowDxfId="230">
      <calculatedColumnFormula>IFERROR(Strom[[#This Row],[Wert 
(Zahl)]]*Strom[[#This Row],[EF Scope 1 PFCs
(kg PFCs/Einheit)]],"")</calculatedColumnFormula>
    </tableColumn>
    <tableColumn id="45" xr3:uid="{6E64E252-F8C5-432C-B961-A31419CD5B86}" name="Scope 1 SF6 [kg SF6]" totalsRowFunction="sum" dataDxfId="305" totalsRowDxfId="229">
      <calculatedColumnFormula>IFERROR(Strom[[#This Row],[Wert 
(Zahl)]]*Strom[[#This Row],[EF Scope 1 SF6
(kg SF6/Einheit)]],"")</calculatedColumnFormula>
    </tableColumn>
    <tableColumn id="46" xr3:uid="{2346187F-6CA9-475E-89AD-829FAB50C4C0}" name="Scope 1 NF3 [kg NF3]" totalsRowFunction="sum" dataDxfId="304" totalsRowDxfId="228">
      <calculatedColumnFormula>IFERROR(Strom[[#This Row],[Wert 
(Zahl)]]*Strom[[#This Row],[EF Scope 1 NF3
(kg NF3/Einheit)]],"")</calculatedColumnFormula>
    </tableColumn>
    <tableColumn id="72" xr3:uid="{0080E5D0-F89F-4971-82DB-9475F75D02A0}" name="Scope 1 non-Kyoto [kg non-Kyoto gas]" totalsRowFunction="sum" dataDxfId="303" totalsRowDxfId="227">
      <calculatedColumnFormula>IFERROR(Strom[[#This Row],[Wert 
(Zahl)]]*Strom[[#This Row],[EF Scope 1 Nicht-Kyoto-Gase (kg Nicht-Kyoto-Gase/Einheit)]],"")</calculatedColumnFormula>
    </tableColumn>
    <tableColumn id="47" xr3:uid="{A92BDD5D-BEDF-4AED-B5E4-3E65863D4CEC}" name="Scope 2 CO2 [kg CO2]" totalsRowFunction="sum" dataDxfId="302" totalsRowDxfId="226">
      <calculatedColumnFormula>IFERROR(Strom[[#This Row],[Wert 
(Zahl)]]*Strom[[#This Row],[EF Scope 2 CO2
(kg CO2/Einheit)]],"")</calculatedColumnFormula>
    </tableColumn>
    <tableColumn id="48" xr3:uid="{A8128CB0-2FE0-4817-8855-E27C17CC3710}" name="Scope 2 CH4 [kg CH4]" totalsRowFunction="sum" dataDxfId="301" totalsRowDxfId="225">
      <calculatedColumnFormula>IFERROR(Strom[[#This Row],[Wert 
(Zahl)]]*Strom[[#This Row],[EF Scope 2 CH4
(kg CH4/Einheit)]],"")</calculatedColumnFormula>
    </tableColumn>
    <tableColumn id="49" xr3:uid="{7EC7ABE0-5CFF-4934-9E52-F8ED22D37120}" name="Scope 2 N2O [kg N2O]" totalsRowFunction="sum" dataDxfId="300" totalsRowDxfId="224">
      <calculatedColumnFormula>IFERROR(Strom[[#This Row],[Wert 
(Zahl)]]*Strom[[#This Row],[EF Scope 2 N2O
(kg N2O/Einheit)]],"")</calculatedColumnFormula>
    </tableColumn>
    <tableColumn id="50" xr3:uid="{E393A0A2-173F-4A7C-9906-C6E61D91BB22}" name="Scope 2 HFCs [kg HFCs]" totalsRowFunction="sum" dataDxfId="299" totalsRowDxfId="223">
      <calculatedColumnFormula>IFERROR(Strom[[#This Row],[Wert 
(Zahl)]]*Strom[[#This Row],[EF Scope 2 HFCs
(kg HFCs/Einheit)]],"")</calculatedColumnFormula>
    </tableColumn>
    <tableColumn id="51" xr3:uid="{4B5F4542-E349-4839-BDF3-A7BF95119AF2}" name="Scope 2 PFCs [kg PFCs]" totalsRowFunction="sum" dataDxfId="298" totalsRowDxfId="222">
      <calculatedColumnFormula>IFERROR(Strom[[#This Row],[Wert 
(Zahl)]]*Strom[[#This Row],[EF Scope 2 PFCs
(kg PFCs/Einheit)]],"")</calculatedColumnFormula>
    </tableColumn>
    <tableColumn id="52" xr3:uid="{217EAAC1-3E9E-44CF-A4B4-083D50074A42}" name="Scope 2 SF6 [kg SF6]" totalsRowFunction="sum" dataDxfId="297" totalsRowDxfId="221">
      <calculatedColumnFormula>IFERROR(Strom[[#This Row],[Wert 
(Zahl)]]*Strom[[#This Row],[EF Scope 2 SF6
(kg SF6/Einheit)]],"")</calculatedColumnFormula>
    </tableColumn>
    <tableColumn id="53" xr3:uid="{117034FF-07EA-4740-8E70-BF1E39180435}" name="Scope 2 NF3 [kg NF3]" totalsRowFunction="sum" dataDxfId="296" totalsRowDxfId="220">
      <calculatedColumnFormula>IFERROR(Strom[[#This Row],[Wert 
(Zahl)]]*Strom[[#This Row],[EF Scope 2 NF3
(kg NF3/Einheit)]],"")</calculatedColumnFormula>
    </tableColumn>
    <tableColumn id="73" xr3:uid="{9F331B36-A775-4AF0-A996-01EF02630FF5}" name="Scope 2 non-Kyoto [kg non-Kyoto gas]" totalsRowFunction="sum" dataDxfId="295" totalsRowDxfId="219">
      <calculatedColumnFormula>IFERROR(Strom[[#This Row],[Wert 
(Zahl)]]*Strom[[#This Row],[EF Scope 2 Nicht-Kyoto-Gase (kg Nicht-Kyoto-Gase/Einheit)]],"")</calculatedColumnFormula>
    </tableColumn>
    <tableColumn id="54" xr3:uid="{26429D8B-80BA-46B5-825F-022828B7C5BE}" name="Scope 1 CO2 [kg CO2e]" totalsRowFunction="sum" dataDxfId="294" totalsRowDxfId="218">
      <calculatedColumnFormula>IF(ISBLANK(Strom[[#This Row],[Wert 
(Zahl)]]),"",IFERROR(Strom[[#This Row],[Scope 1 CO2 '[kg CO2']]]*IFERROR(VLOOKUP("CO2",GWP_100[],3,FALSE),0),0))</calculatedColumnFormula>
    </tableColumn>
    <tableColumn id="55" xr3:uid="{E96A633D-42CF-48E6-9D31-0EA3A24F9D93}" name="Scope 1 CH4 [kg CO2e]" totalsRowFunction="sum" dataDxfId="293" totalsRowDxfId="217">
      <calculatedColumnFormula>IF(ISBLANK(Strom[[#This Row],[Wert 
(Zahl)]]),"",IFERROR(Strom[[#This Row],[Scope 1 CH4 '[kg CH4']]]*IFERROR(VLOOKUP("CH4",GWP_100[],4,FALSE),0),0))</calculatedColumnFormula>
    </tableColumn>
    <tableColumn id="56" xr3:uid="{427E8A8E-D8E1-45C9-9450-434D8F2C3E72}" name="Scope 1 N2O [kg CO2e]" totalsRowFunction="sum" dataDxfId="292" totalsRowDxfId="216">
      <calculatedColumnFormula>IF(ISBLANK(Strom[[#This Row],[Wert 
(Zahl)]]),"",IFERROR(Strom[[#This Row],[Scope 1 N2O '[kg N2O']]]*IFERROR(VLOOKUP("N2O",GWP_100[],5,FALSE),0),0))</calculatedColumnFormula>
    </tableColumn>
    <tableColumn id="57" xr3:uid="{A5C2C9DA-5538-4F5C-BA95-165CFCCC668E}" name="Scope 1 HFCs [kg CO2e]" totalsRowFunction="sum" dataDxfId="291" totalsRowDxfId="215">
      <calculatedColumnFormula>IF(ISBLANK(Strom[[#This Row],[Wert 
(Zahl)]]),"",IFERROR(Strom[[#This Row],[Scope 1 HFCs '[kg HFCs']]]*IFERROR(VLOOKUP(Strom[[#This Row],[Emissionsquelle/Aktivität (Dropdown)]],GWP_100[],6,FALSE),0),0))</calculatedColumnFormula>
    </tableColumn>
    <tableColumn id="58" xr3:uid="{3ED079BC-B255-420E-8FAE-4E32824CB3D3}" name="Scope 1 PFCs [kg CO2e]" totalsRowFunction="sum" dataDxfId="290" totalsRowDxfId="214">
      <calculatedColumnFormula>IF(ISBLANK(Strom[[#This Row],[Wert 
(Zahl)]]),"",IFERROR(Strom[[#This Row],[Scope 1 PFCs '[kg PFCs']]]*IFERROR(VLOOKUP(Strom[[#This Row],[Emissionsquelle/Aktivität (Dropdown)]],GWP_100[],7,FALSE),0),0))</calculatedColumnFormula>
    </tableColumn>
    <tableColumn id="59" xr3:uid="{DA10D5D0-56A2-4689-B96F-CD67A15254A5}" name="Scope 1 SF6 [kg CO2e]" totalsRowFunction="sum" dataDxfId="289" totalsRowDxfId="213">
      <calculatedColumnFormula>IF(ISBLANK(Strom[[#This Row],[Wert 
(Zahl)]]),"",IFERROR(Strom[[#This Row],[Scope 1 SF6 '[kg SF6']]]*IFERROR(VLOOKUP("SF6",GWP_100[],8,FALSE),0),0))</calculatedColumnFormula>
    </tableColumn>
    <tableColumn id="60" xr3:uid="{27422B83-29A4-457C-A531-F8A692533664}" name="Scope 1 NF3 [kg CO2e]" totalsRowFunction="sum" dataDxfId="288" totalsRowDxfId="212">
      <calculatedColumnFormula>IF(ISBLANK(Strom[[#This Row],[Wert 
(Zahl)]]),"",IFERROR(Strom[[#This Row],[Scope 1 NF3 '[kg NF3']]]*IFERROR(VLOOKUP("NF3",GWP_100[],9,FALSE),0),0))</calculatedColumnFormula>
    </tableColumn>
    <tableColumn id="71" xr3:uid="{61BDFB71-2664-42CE-A84A-E2560C740DB7}" name="Scope 1 non-Kyoto [kg CO2e]" totalsRowFunction="sum" dataDxfId="287" totalsRowDxfId="211">
      <calculatedColumnFormula>IF(ISBLANK(Strom[[#This Row],[Wert 
(Zahl)]]),"",IFERROR(Strom[[#This Row],[Scope 1 non-Kyoto '[kg non-Kyoto gas']]]*IFERROR(VLOOKUP(Strom[[#This Row],[Emissionsquelle/Aktivität (Dropdown)]],GWP_100[],10,FALSE),0),0))</calculatedColumnFormula>
    </tableColumn>
    <tableColumn id="61" xr3:uid="{0B3714CF-9275-4FE4-8D4C-D6428E5509C8}" name="Scope 2 CO2 [kg CO2e]" totalsRowFunction="sum" dataDxfId="286" totalsRowDxfId="210">
      <calculatedColumnFormula>IF(ISBLANK(Strom[[#This Row],[Wert 
(Zahl)]]),"",IFERROR(Strom[[#This Row],[Scope 2 CO2 '[kg CO2']]]*IFERROR(VLOOKUP("CO2",GWP_100[],3,FALSE),0),0))</calculatedColumnFormula>
    </tableColumn>
    <tableColumn id="62" xr3:uid="{52EB8D0C-C6B6-49B6-BD7D-B3483C857644}" name="Scope 2 CH4 [kg CO2e]" totalsRowFunction="sum" dataDxfId="285" totalsRowDxfId="209">
      <calculatedColumnFormula>IF(ISBLANK(Strom[[#This Row],[Wert 
(Zahl)]]),"",IFERROR(Strom[[#This Row],[Scope 2 CH4 '[kg CH4']]]*IFERROR(VLOOKUP("CH4",GWP_100[],4,FALSE),0),0))</calculatedColumnFormula>
    </tableColumn>
    <tableColumn id="63" xr3:uid="{1EE8DFC5-52BA-4B5B-A2E4-15D0550FF557}" name="Scope 2 N2O [kg CO2e]" totalsRowFunction="sum" dataDxfId="284" totalsRowDxfId="208">
      <calculatedColumnFormula>IF(ISBLANK(Strom[[#This Row],[Wert 
(Zahl)]]),"",IFERROR(Strom[[#This Row],[Scope 2 N2O '[kg N2O']]]*IFERROR(VLOOKUP("N2O",GWP_100[],5,FALSE),0),0))</calculatedColumnFormula>
    </tableColumn>
    <tableColumn id="64" xr3:uid="{660E5F45-2CB4-4505-8BF6-F92821657403}" name="Scope 2 HFCs [kg CO2e]" totalsRowFunction="sum" dataDxfId="283" totalsRowDxfId="207">
      <calculatedColumnFormula>IF(ISBLANK(Strom[[#This Row],[Wert 
(Zahl)]]),"",IFERROR(Strom[[#This Row],[Scope 2 HFCs '[kg HFCs']]]*IFERROR(VLOOKUP(Strom[[#This Row],[Emissionsquelle/Aktivität (Dropdown)]],GWP_100[],6,FALSE),0),0))</calculatedColumnFormula>
    </tableColumn>
    <tableColumn id="65" xr3:uid="{5359B72C-407E-41A1-9EE0-04738359EEBF}" name="Scope 2 PFCs [kg CO2e]" totalsRowFunction="sum" dataDxfId="282" totalsRowDxfId="206">
      <calculatedColumnFormula>IF(ISBLANK(Strom[[#This Row],[Wert 
(Zahl)]]),"",IFERROR(Strom[[#This Row],[Scope 2 PFCs '[kg PFCs']]]*IFERROR(VLOOKUP(Strom[[#This Row],[Emissionsquelle/Aktivität (Dropdown)]],GWP_100[],7,FALSE),0),0))</calculatedColumnFormula>
    </tableColumn>
    <tableColumn id="66" xr3:uid="{ECC298F0-7EAF-4C77-98DF-8299844C0092}" name="Scope 2 SF6 [kg CO2e]" totalsRowFunction="sum" dataDxfId="281" totalsRowDxfId="205">
      <calculatedColumnFormula>IF(ISBLANK(Strom[[#This Row],[Wert 
(Zahl)]]),"",IFERROR(Strom[[#This Row],[Scope 2 SF6 '[kg SF6']]]*IFERROR(VLOOKUP("SF6",GWP_100[],8,FALSE),0),0))</calculatedColumnFormula>
    </tableColumn>
    <tableColumn id="67" xr3:uid="{C86DDCA9-EB27-4B07-9B1C-CAD47411C97D}" name="Scope 2 NF3 [kg CO2e]" totalsRowFunction="sum" dataDxfId="280" totalsRowDxfId="204">
      <calculatedColumnFormula>IF(ISBLANK(Strom[[#This Row],[Wert 
(Zahl)]]),"",IFERROR(Strom[[#This Row],[Scope 2 NF3 '[kg NF3']]]*IFERROR(VLOOKUP("NF3",GWP_100[],9,FALSE),0),0))</calculatedColumnFormula>
    </tableColumn>
    <tableColumn id="74" xr3:uid="{AB40C5F0-B544-4225-BBB5-7AF38F1DB8AA}" name="Scope 2 non-Kyoto [kg CO2e]" totalsRowFunction="sum" dataDxfId="279" totalsRowDxfId="203">
      <calculatedColumnFormula>IF(ISBLANK(Strom[[#This Row],[Wert 
(Zahl)]]),"",IFERROR(Strom[[#This Row],[Scope 2 non-Kyoto '[kg non-Kyoto gas']]]*IFERROR(VLOOKUP(Strom[[#This Row],[Emissionsquelle/Aktivität (Dropdown)]],GWP_100[],10,FALSE),0),0))</calculatedColumnFormula>
    </tableColumn>
  </tableColumns>
  <tableStyleInfo name="Tabelle KBK"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1EA470-3083-4C7F-90C1-4E18F35093B7}" name="GWP_100" displayName="GWP_100" ref="D320:O379" totalsRowShown="0" headerRowDxfId="377" dataDxfId="376">
  <autoFilter ref="D320:O379" xr:uid="{4E1EA470-3083-4C7F-90C1-4E18F35093B7}"/>
  <tableColumns count="12">
    <tableColumn id="2" xr3:uid="{A82C7433-B73C-4C61-9FAA-72E6B0C9EF00}" name="Bezeichnung" dataDxfId="375"/>
    <tableColumn id="1" xr3:uid="{1442668B-B365-4F34-947F-F1A4BB34A733}" name="Gruppe" dataDxfId="374"/>
    <tableColumn id="3" xr3:uid="{DAD9DE75-4629-4175-A533-1E1F395FA2B7}" name="GWP-100 CO2" dataDxfId="373"/>
    <tableColumn id="13" xr3:uid="{F191917A-193A-405E-BD5A-EABCB42B4D27}" name="GWP-100 CH4" dataDxfId="372"/>
    <tableColumn id="12" xr3:uid="{88C000D5-9B0F-4482-82A6-1A3B63066444}" name="GWP-100 N2O" dataDxfId="371"/>
    <tableColumn id="11" xr3:uid="{7C6CC0E8-2500-437D-B094-B839639B6A3F}" name="GWP-100 HFCs" dataDxfId="370"/>
    <tableColumn id="10" xr3:uid="{5A5E4122-05E4-463A-B145-EC53D4FA9A0E}" name="GWP-100 PFCs" dataDxfId="369"/>
    <tableColumn id="9" xr3:uid="{D42F6AD1-7AE9-478A-BF56-DBFE0ED20FEC}" name="GWP-100 SF6" dataDxfId="368"/>
    <tableColumn id="8" xr3:uid="{F5EBD903-99E7-42A1-83FB-11EBB21DBF3C}" name="GWP-100 NF3" dataDxfId="367"/>
    <tableColumn id="7" xr3:uid="{F8DF2378-D595-4B27-AC75-373E49ACB25B}" name="GWP-100 Nicht-Kyoto-Gase" dataDxfId="366"/>
    <tableColumn id="4" xr3:uid="{71C3F102-CA4F-4D61-9A83-A75A5618E58D}" name="Quelle" dataDxfId="365"/>
    <tableColumn id="5" xr3:uid="{443502E9-186F-4229-AED9-9F29CC9A85C9}" name="Kommentar" dataDxfId="364"/>
  </tableColumns>
  <tableStyleInfo name="Tabelle KBK"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307FC91-7749-430D-9093-F839A2FF1A23}" name="Sektor_Thema" displayName="Sektor_Thema" ref="D3:L15" totalsRowShown="0" headerRowDxfId="363">
  <autoFilter ref="D3:L15" xr:uid="{5307FC91-7749-430D-9093-F839A2FF1A23}"/>
  <tableColumns count="9">
    <tableColumn id="3" xr3:uid="{A6564408-9DA5-4C10-AA49-F2DEBC78AEEB}" name="Thema"/>
    <tableColumn id="9" xr3:uid="{5723A2EF-70D8-4DEE-8CCF-999045D150E8}" name="Systemgrenze" dataDxfId="362"/>
    <tableColumn id="2" xr3:uid="{DDF2E872-CD44-4E7C-9EC3-B0FC8D94C64A}" name="Sektor"/>
    <tableColumn id="4" xr3:uid="{576F109C-870B-43A1-9B4F-304B0E09AD4D}" name="Sektor_Thema" dataDxfId="361">
      <calculatedColumnFormula>CONCATENATE(F4,": ",D4)</calculatedColumnFormula>
    </tableColumn>
    <tableColumn id="1" xr3:uid="{C3683859-3498-4EF9-BA36-33F8BB22912E}" name="Thema_"/>
    <tableColumn id="5" xr3:uid="{693F0325-4C5C-481F-BFC7-AA680DCF560F}" name="Scope 1 Zuordnung" dataDxfId="360"/>
    <tableColumn id="6" xr3:uid="{80B53DC5-14E9-487A-8ADB-C85F8FB4C70E}" name="Scope 2 Zuordnung" dataDxfId="359"/>
    <tableColumn id="7" xr3:uid="{4E7689BD-CD3D-4EA6-8A0D-3BE6A94863D5}" name="Scope 3 Zuordnung" dataDxfId="358"/>
    <tableColumn id="8" xr3:uid="{809FA04A-EE7F-4915-9103-4161DE593AB2}" name="Scope 3 Zuordnung 2" dataDxfId="357"/>
  </tableColumns>
  <tableStyleInfo name="TableStyleMedium3"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D648661-973C-4DFC-BA54-83D0BFC3B5AD}" name="DD_Datenqualität" displayName="DD_Datenqualität" ref="B18:B21" totalsRowShown="0">
  <autoFilter ref="B18:B21" xr:uid="{4D648661-973C-4DFC-BA54-83D0BFC3B5AD}"/>
  <tableColumns count="1">
    <tableColumn id="1" xr3:uid="{49C2B12D-7891-4E26-91B1-3DA1E73EBCF4}" name="DD_Datenqualität"/>
  </tableColumns>
  <tableStyleInfo name="TableStyleMedium3"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0A52081-EF94-4AC2-AA78-5C5A50306C50}" name="DD_Sparten" displayName="DD_Sparten" ref="B3:B8" totalsRowShown="0" headerRowDxfId="356">
  <autoFilter ref="B3:B8" xr:uid="{50A52081-EF94-4AC2-AA78-5C5A50306C50}"/>
  <tableColumns count="1">
    <tableColumn id="1" xr3:uid="{C7071D39-F2F2-4B5D-B4C5-6B91F531B144}" name="DD_Sparten"/>
  </tableColumns>
  <tableStyleInfo name="TableStyleMedium3"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AA366A8-FD90-474D-8C55-741BE12AEE2C}" name="DD_ja_nein" displayName="DD_ja_nein" ref="B23:B25" totalsRowShown="0">
  <autoFilter ref="B23:B25" xr:uid="{4AA366A8-FD90-474D-8C55-741BE12AEE2C}"/>
  <tableColumns count="1">
    <tableColumn id="1" xr3:uid="{35F8846A-C0CA-4800-9E91-6E93B6D997D4}" name="DD_ja_nein"/>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5655D64-CAA4-4688-8719-1F54B537A409}" name="Kühl_und_Kältemittel" displayName="Kühl_und_Kältemittel" ref="C82:BT103" totalsRowCount="1" headerRowDxfId="1169" dataDxfId="1168" totalsRowDxfId="1167">
  <tableColumns count="70">
    <tableColumn id="20" xr3:uid="{5BDA3824-A51E-4B19-BDEF-597B0972B100}" name="Sektor_Thema" dataDxfId="1166" totalsRowDxfId="1165">
      <calculatedColumnFormula>$C$81</calculatedColumnFormula>
    </tableColumn>
    <tableColumn id="3" xr3:uid="{B4422975-F21A-4368-8A98-A6D53561EB1B}" name="Zuordnung Gliederungselement (Dropdown)" totalsRowLabel="Summe" dataDxfId="1164" totalsRowDxfId="1163"/>
    <tableColumn id="4" xr3:uid="{E9952CE1-BCC9-4346-AC62-3A541C18B15E}" name="Emissionsquelle/Aktivität (Dropdown)" dataDxfId="1162" totalsRowDxfId="1161"/>
    <tableColumn id="6" xr3:uid="{78D58065-30AF-4CFC-8515-1BDD7A18F614}" name="Wert _x000a_(Zahl)" dataDxfId="1160" totalsRowDxfId="1159"/>
    <tableColumn id="5" xr3:uid="{6D2652D8-E142-45B6-9635-E502D48F3636}" name="Einheit _x000a_(vorausgefüllt)" dataDxfId="1158" totalsRowDxfId="1157">
      <calculatedColumnFormula>IFERROR(VLOOKUP(Kühl_und_Kältemittel[[#This Row],[Thema_Bezeichung]],EFs_Kühlmittel[],4,FALSE),"")</calculatedColumnFormula>
    </tableColumn>
    <tableColumn id="7" xr3:uid="{44C1305F-D30F-4350-A9FD-18E58B968420}" name="Datenqualität Wert (Dropdown)" dataDxfId="1156" totalsRowDxfId="1155"/>
    <tableColumn id="8" xr3:uid="{D3FF9272-F59F-4E1E-9A6F-4ABC7938082B}" name="Notiz - Datenquelle _x000a_(Text)" dataDxfId="1154" totalsRowDxfId="1153"/>
    <tableColumn id="9" xr3:uid="{0B1BDA41-FD53-4613-83DA-B69C7FB3BE7E}" name="Notiz - Kommentar _x000a_(Text)" dataDxfId="1152" totalsRowDxfId="1151"/>
    <tableColumn id="24" xr3:uid="{05EE152E-CC05-48CE-847F-251D6372298F}" name="Ergebnis [kg CO2e] (vorausgefüllt)" totalsRowFunction="sum" dataDxfId="1150" totalsRowDxfId="1149">
      <calculatedColumnFormula>IF(ISBLANK(Kühl_und_Kältemittel[[#This Row],[Wert 
(Zahl)]]),"", SUM(Kühl_und_Kältemittel[[#This Row],[Scope 1 CO2e '[kg CO2e']]:[Scope 3 CO2e '[kg CO2e']]]))</calculatedColumnFormula>
    </tableColumn>
    <tableColumn id="2" xr3:uid="{CA37214D-3A66-442D-A61B-96EE4697764E}" name="." dataDxfId="1148" totalsRowDxfId="1147"/>
    <tableColumn id="1" xr3:uid="{9477C345-401B-45A2-BC77-E634AFB66E0C}" name=".." dataDxfId="1146" totalsRowDxfId="1145"/>
    <tableColumn id="71" xr3:uid="{7A2990C7-CE63-4A11-8CED-197C2AE9E0C6}" name="Spalte1" dataDxfId="1144" totalsRowDxfId="1143"/>
    <tableColumn id="26" xr3:uid="{B5378DAF-F9F8-45A0-98EF-E5441E38D3CE}" name="Thema_Bezeichung" dataDxfId="1142" totalsRowDxfId="1141">
      <calculatedColumnFormula>IF(ISBLANK(Kühl_und_Kältemittel[[#This Row],[Emissionsquelle/Aktivität (Dropdown)]]),"",CONCATENATE(Kühl_und_Kältemittel[[#This Row],[Sektor_Thema]]," - ",Kühl_und_Kältemittel[[#This Row],[Emissionsquelle/Aktivität (Dropdown)]]))</calculatedColumnFormula>
    </tableColumn>
    <tableColumn id="66" xr3:uid="{4B5D5744-89A0-4C21-A578-7467B414B0F7}" name="…" dataDxfId="1140" totalsRowDxfId="1139"/>
    <tableColumn id="10" xr3:uid="{57E970A9-9928-41B6-A2BC-AE6A7683F9BB}" name="EF Scope 1 CO2e_x000a_(kg CO2e/Einheit)" dataDxfId="1138" totalsRowDxfId="1137">
      <calculatedColumnFormula>IFERROR(VLOOKUP(Kühl_und_Kältemittel[[#This Row],[Thema_Bezeichung]],EFs_Kühlmittel[],5,FALSE),"")</calculatedColumnFormula>
    </tableColumn>
    <tableColumn id="25" xr3:uid="{3A408FD2-D142-4370-8876-6BE0B2AD0B9B}" name="EF Scope 1 CO2_x000a_(kg CO2/Einheit)" dataDxfId="1136" totalsRowDxfId="1135">
      <calculatedColumnFormula>IFERROR(VLOOKUP(Kühl_und_Kältemittel[[#This Row],[Thema_Bezeichung]],EFs_Kühlmittel[],6,FALSE),"")</calculatedColumnFormula>
    </tableColumn>
    <tableColumn id="23" xr3:uid="{45ED2332-C923-47DC-A337-25D7F60A78F1}" name="EF Scope 1 CH4_x000a_(kg CH4/Einheit)" dataDxfId="1134" totalsRowDxfId="1133">
      <calculatedColumnFormula>IFERROR(VLOOKUP(Kühl_und_Kältemittel[[#This Row],[Thema_Bezeichung]],EFs_Kühlmittel[],7,FALSE),"")</calculatedColumnFormula>
    </tableColumn>
    <tableColumn id="22" xr3:uid="{EAFE8E69-6188-4CC9-8670-8E9C44C20DCF}" name="EF Scope 1 N2O_x000a_(kg N2O/Einheit)" dataDxfId="1132" totalsRowDxfId="1131">
      <calculatedColumnFormula>IFERROR(VLOOKUP(Kühl_und_Kältemittel[[#This Row],[Thema_Bezeichung]],EFs_Kühlmittel[],8,FALSE),"")</calculatedColumnFormula>
    </tableColumn>
    <tableColumn id="21" xr3:uid="{65F51866-2BA5-47C1-91AB-FB945E675988}" name="EF Scope 1 HFCs_x000a_(kg HFCs/Einheit)" dataDxfId="1130" totalsRowDxfId="1129">
      <calculatedColumnFormula>IFERROR(VLOOKUP(Kühl_und_Kältemittel[[#This Row],[Thema_Bezeichung]],EFs_Kühlmittel[],9,FALSE),"")</calculatedColumnFormula>
    </tableColumn>
    <tableColumn id="19" xr3:uid="{D3BDFAEC-9F15-4960-B670-5118408FA158}" name="EF Scope 1 PFCs_x000a_(kg PFCs/Einheit)" dataDxfId="1128" totalsRowDxfId="1127">
      <calculatedColumnFormula>IFERROR(VLOOKUP(Kühl_und_Kältemittel[[#This Row],[Thema_Bezeichung]],EFs_Kühlmittel[],10,FALSE),"")</calculatedColumnFormula>
    </tableColumn>
    <tableColumn id="15" xr3:uid="{3FDF7943-A93D-4288-96B0-72E1AC453834}" name="EF Scope 1 SF6_x000a_(kg SF6/Einheit)" dataDxfId="1126" totalsRowDxfId="1125">
      <calculatedColumnFormula>IFERROR(VLOOKUP(Kühl_und_Kältemittel[[#This Row],[Thema_Bezeichung]],EFs_Kühlmittel[],11,FALSE),"")</calculatedColumnFormula>
    </tableColumn>
    <tableColumn id="14" xr3:uid="{2460816F-ACBD-4E9A-95C3-2799315D3007}" name="EF Scope 1 NF3_x000a_(kg NF3/Einheit)" dataDxfId="1124" totalsRowDxfId="1123">
      <calculatedColumnFormula>IFERROR(VLOOKUP(Kühl_und_Kältemittel[[#This Row],[Thema_Bezeichung]],EFs_Kühlmittel[],12,FALSE),"")</calculatedColumnFormula>
    </tableColumn>
    <tableColumn id="27" xr3:uid="{6992FA3B-ABBC-46E3-9B12-0F3EC98E59F3}" name="EF Scope 1 Nicht-Kyoto-Gase (kg Nicht-Kyoto-Gase/Einheit)" dataDxfId="1122" totalsRowDxfId="1121">
      <calculatedColumnFormula>IFERROR(VLOOKUP(Kühl_und_Kältemittel[[#This Row],[Thema_Bezeichung]],EFs_Kühlmittel[],13,FALSE),"")</calculatedColumnFormula>
    </tableColumn>
    <tableColumn id="13" xr3:uid="{612FCB8D-9000-4F43-9AB8-44C6D9E3AD68}" name="EF Scope 1 CO2 biogen_x000a_(kg CO2 /Einheit)" dataDxfId="1120" totalsRowDxfId="1119">
      <calculatedColumnFormula>IFERROR(VLOOKUP(Kühl_und_Kältemittel[[#This Row],[Thema_Bezeichung]],EFs_Kühlmittel[],14,FALSE),"")</calculatedColumnFormula>
    </tableColumn>
    <tableColumn id="11" xr3:uid="{14516551-E62E-4893-B6D2-5BEE6FFE6F74}" name="EF Scope 2 CO2e_x000a_(kg CO2e/Einheit)" dataDxfId="1118" totalsRowDxfId="1117">
      <calculatedColumnFormula>IFERROR(VLOOKUP(Kühl_und_Kältemittel[[#This Row],[Thema_Bezeichung]],EFs_Kühlmittel[],15,FALSE),"")</calculatedColumnFormula>
    </tableColumn>
    <tableColumn id="34" xr3:uid="{0913CF5C-8FBF-4BB5-868B-609D88A1D564}" name="EF Scope 2 CO2_x000a_(kg CO2/Einheit)" dataDxfId="1116" totalsRowDxfId="1115">
      <calculatedColumnFormula>IFERROR(VLOOKUP(Kühl_und_Kältemittel[[#This Row],[Thema_Bezeichung]],EFs_Kühlmittel[],16,FALSE),"")</calculatedColumnFormula>
    </tableColumn>
    <tableColumn id="33" xr3:uid="{E89C044D-B713-4132-ABC5-832D62328A93}" name="EF Scope 2 CH4_x000a_(kg CH4/Einheit)" dataDxfId="1114" totalsRowDxfId="1113">
      <calculatedColumnFormula>IFERROR(VLOOKUP(Kühl_und_Kältemittel[[#This Row],[Thema_Bezeichung]],EFs_Kühlmittel[],17,FALSE),"")</calculatedColumnFormula>
    </tableColumn>
    <tableColumn id="32" xr3:uid="{784250ED-3E3B-4555-8A7F-F324EAA6D64A}" name="EF Scope 2 N2O_x000a_(kg N2O/Einheit)" dataDxfId="1112" totalsRowDxfId="1111">
      <calculatedColumnFormula>IFERROR(VLOOKUP(Kühl_und_Kältemittel[[#This Row],[Thema_Bezeichung]],EFs_Kühlmittel[],18,FALSE),"")</calculatedColumnFormula>
    </tableColumn>
    <tableColumn id="31" xr3:uid="{7377DEE8-2C6D-43DA-8E7E-BE83E1F2E8A7}" name="EF Scope 2 HFCs_x000a_(kg HFCs/Einheit)" dataDxfId="1110" totalsRowDxfId="1109">
      <calculatedColumnFormula>IFERROR(VLOOKUP(Kühl_und_Kältemittel[[#This Row],[Thema_Bezeichung]],EFs_Kühlmittel[],19,FALSE),"")</calculatedColumnFormula>
    </tableColumn>
    <tableColumn id="30" xr3:uid="{1360B9F7-AE56-462C-93E5-FDB0A54C8063}" name="EF Scope 2 PFCs_x000a_(kg PFCs/Einheit)" dataDxfId="1108" totalsRowDxfId="1107">
      <calculatedColumnFormula>IFERROR(VLOOKUP(Kühl_und_Kältemittel[[#This Row],[Thema_Bezeichung]],EFs_Kühlmittel[],20,FALSE),"")</calculatedColumnFormula>
    </tableColumn>
    <tableColumn id="29" xr3:uid="{EA58BB88-D39B-4D47-A95A-43FCADFA5758}" name="EF Scope 2 SF6_x000a_(kg SF6/Einheit)" dataDxfId="1106" totalsRowDxfId="1105">
      <calculatedColumnFormula>IFERROR(VLOOKUP(Kühl_und_Kältemittel[[#This Row],[Thema_Bezeichung]],EFs_Kühlmittel[],21,FALSE),"")</calculatedColumnFormula>
    </tableColumn>
    <tableColumn id="28" xr3:uid="{BDB0EBDF-81A6-4045-9FE6-8402202BB9E0}" name="EF Scope 2 NF3_x000a_(kg NF3/Einheit)" dataDxfId="1104" totalsRowDxfId="1103">
      <calculatedColumnFormula>IFERROR(VLOOKUP(Kühl_und_Kältemittel[[#This Row],[Thema_Bezeichung]],EFs_Kühlmittel[],22,FALSE),"")</calculatedColumnFormula>
    </tableColumn>
    <tableColumn id="35" xr3:uid="{1881757E-C636-4C63-9FFB-2114B0A3A2D2}" name="EF Scope 2 Nicht-Kyoto-Gase (kg Nicht-Kyoto-Gase/Einheit)" dataDxfId="1102" totalsRowDxfId="1101">
      <calculatedColumnFormula>IFERROR(VLOOKUP(Kühl_und_Kältemittel[[#This Row],[Thema_Bezeichung]],EFs_Kühlmittel[],23,FALSE),"")</calculatedColumnFormula>
    </tableColumn>
    <tableColumn id="12" xr3:uid="{4EC74749-164F-4B7D-9B37-4867C28147DA}" name="EF Scope 3 CO2e_x000a_(kg CO2e/Einheit)" dataDxfId="1100" totalsRowDxfId="1099">
      <calculatedColumnFormula>IFERROR(VLOOKUP(Kühl_und_Kältemittel[[#This Row],[Thema_Bezeichung]],EFs_Kühlmittel[],24,FALSE),"")</calculatedColumnFormula>
    </tableColumn>
    <tableColumn id="16" xr3:uid="{CC554853-1E40-4FE1-AC4E-EF19FF3E1988}" name="Scope 1 CO2e [kg CO2e]" totalsRowFunction="sum" dataDxfId="1098" totalsRowDxfId="1097">
      <calculatedColumnFormula>IFERROR(Kühl_und_Kältemittel[[#This Row],[Wert 
(Zahl)]]*Kühl_und_Kältemittel[[#This Row],[EF Scope 1 CO2e
(kg CO2e/Einheit)]],"")</calculatedColumnFormula>
    </tableColumn>
    <tableColumn id="17" xr3:uid="{2516AD14-8E61-4C0D-A510-C729C71EDF3F}" name="Scope 2 CO2e [kg CO2e]" totalsRowFunction="sum" dataDxfId="1096" totalsRowDxfId="1095">
      <calculatedColumnFormula>IFERROR(Kühl_und_Kältemittel[[#This Row],[Wert 
(Zahl)]]*Kühl_und_Kältemittel[[#This Row],[EF Scope 2 CO2e
(kg CO2e/Einheit)]],"")</calculatedColumnFormula>
    </tableColumn>
    <tableColumn id="18" xr3:uid="{DE4C7617-3611-41EE-A32A-3984EF777415}" name="Scope 3 CO2e [kg CO2e]" totalsRowFunction="sum" dataDxfId="1094" totalsRowDxfId="1093">
      <calculatedColumnFormula>IFERROR(Kühl_und_Kältemittel[[#This Row],[Wert 
(Zahl)]]*Kühl_und_Kältemittel[[#This Row],[EF Scope 3 CO2e
(kg CO2e/Einheit)]],"")</calculatedColumnFormula>
    </tableColumn>
    <tableColumn id="36" xr3:uid="{E9A58E84-77BF-456A-8078-E17C8AB0351F}" name="Scope 1 CO2 biogen [kg CO2]" totalsRowFunction="sum" dataDxfId="1092" totalsRowDxfId="1091">
      <calculatedColumnFormula>IFERROR(Kühl_und_Kältemittel[[#This Row],[Wert 
(Zahl)]]*Kühl_und_Kältemittel[[#This Row],[EF Scope 1 CO2 biogen
(kg CO2 /Einheit)]],"")</calculatedColumnFormula>
    </tableColumn>
    <tableColumn id="37" xr3:uid="{DB2BCFC2-E72D-44AD-A01B-5D1DC6B241F3}" name="Scope 1 CO2 [kg CO2]" totalsRowFunction="sum" dataDxfId="1090" totalsRowDxfId="1089">
      <calculatedColumnFormula>IFERROR(Kühl_und_Kältemittel[[#This Row],[Wert 
(Zahl)]]*Kühl_und_Kältemittel[[#This Row],[EF Scope 1 CO2
(kg CO2/Einheit)]],"")</calculatedColumnFormula>
    </tableColumn>
    <tableColumn id="38" xr3:uid="{05E4B4A4-DAB2-4FDC-87E2-B00FA22A6B88}" name="Scope 1 CH4 [kg CH4]" totalsRowFunction="sum" dataDxfId="1088" totalsRowDxfId="1087">
      <calculatedColumnFormula>IFERROR(Kühl_und_Kältemittel[[#This Row],[Wert 
(Zahl)]]*Kühl_und_Kältemittel[[#This Row],[EF Scope 1 CH4
(kg CH4/Einheit)]],"")</calculatedColumnFormula>
    </tableColumn>
    <tableColumn id="39" xr3:uid="{04CC832B-77FD-4088-901A-F6F722022B5F}" name="Scope 1 N2O [kg N2O]" totalsRowFunction="sum" dataDxfId="1086" totalsRowDxfId="1085">
      <calculatedColumnFormula>IFERROR(Kühl_und_Kältemittel[[#This Row],[Wert 
(Zahl)]]*Kühl_und_Kältemittel[[#This Row],[EF Scope 1 N2O
(kg N2O/Einheit)]],"")</calculatedColumnFormula>
    </tableColumn>
    <tableColumn id="40" xr3:uid="{3801D910-FB71-41A9-B589-1AE9C9A3C0C7}" name="Scope 1 HFCs [kg HFCs]" totalsRowFunction="sum" dataDxfId="1084" totalsRowDxfId="1083">
      <calculatedColumnFormula>IFERROR(Kühl_und_Kältemittel[[#This Row],[Wert 
(Zahl)]]*Kühl_und_Kältemittel[[#This Row],[EF Scope 1 HFCs
(kg HFCs/Einheit)]],"")</calculatedColumnFormula>
    </tableColumn>
    <tableColumn id="41" xr3:uid="{95D1C884-2592-48E2-B2DE-0776EE320FA3}" name="Scope 1 PFCs [kg PFCs]" totalsRowFunction="sum" dataDxfId="1082" totalsRowDxfId="1081">
      <calculatedColumnFormula>IFERROR(Kühl_und_Kältemittel[[#This Row],[Wert 
(Zahl)]]*Kühl_und_Kältemittel[[#This Row],[EF Scope 1 PFCs
(kg PFCs/Einheit)]],"")</calculatedColumnFormula>
    </tableColumn>
    <tableColumn id="42" xr3:uid="{6B169A45-4B83-481D-A4D7-168EEC315FF6}" name="Scope 1 SF6 [kg SF6]" totalsRowFunction="sum" dataDxfId="1080" totalsRowDxfId="1079">
      <calculatedColumnFormula>IFERROR(Kühl_und_Kältemittel[[#This Row],[Wert 
(Zahl)]]*Kühl_und_Kältemittel[[#This Row],[EF Scope 1 SF6
(kg SF6/Einheit)]],"")</calculatedColumnFormula>
    </tableColumn>
    <tableColumn id="43" xr3:uid="{98BF71A7-E4D4-4410-A9D2-F4F70B7B21D5}" name="Scope 1 NF3 [kg NF3]" totalsRowFunction="sum" dataDxfId="1078" totalsRowDxfId="1077">
      <calculatedColumnFormula>IFERROR(Kühl_und_Kältemittel[[#This Row],[Wert 
(Zahl)]]*Kühl_und_Kältemittel[[#This Row],[EF Scope 1 NF3
(kg NF3/Einheit)]],"")</calculatedColumnFormula>
    </tableColumn>
    <tableColumn id="65" xr3:uid="{A49AF091-44FE-47A5-9D6B-D95589DFE0DB}" name="Scope 1 non-Kyoto [kg non-Kyoto gas]" totalsRowFunction="sum" dataDxfId="1076" totalsRowDxfId="1075">
      <calculatedColumnFormula>IFERROR(Kühl_und_Kältemittel[[#This Row],[Wert 
(Zahl)]]*Kühl_und_Kältemittel[[#This Row],[EF Scope 1 Nicht-Kyoto-Gase (kg Nicht-Kyoto-Gase/Einheit)]],"")</calculatedColumnFormula>
    </tableColumn>
    <tableColumn id="44" xr3:uid="{CD732CC7-AFA9-49EA-8530-3760AF45D149}" name="Scope 2 CO2 [kg CO2]" totalsRowFunction="sum" dataDxfId="1074" totalsRowDxfId="1073">
      <calculatedColumnFormula>IFERROR(Kühl_und_Kältemittel[[#This Row],[Wert 
(Zahl)]]*Kühl_und_Kältemittel[[#This Row],[EF Scope 2 CO2
(kg CO2/Einheit)]],"")</calculatedColumnFormula>
    </tableColumn>
    <tableColumn id="45" xr3:uid="{A4CF2DE5-7246-4A74-AEF8-D48D2C9BC5EB}" name="Scope 2 CH4 [kg CH4]" totalsRowFunction="sum" dataDxfId="1072" totalsRowDxfId="1071">
      <calculatedColumnFormula>IFERROR(Kühl_und_Kältemittel[[#This Row],[Wert 
(Zahl)]]*Kühl_und_Kältemittel[[#This Row],[EF Scope 2 CH4
(kg CH4/Einheit)]],"")</calculatedColumnFormula>
    </tableColumn>
    <tableColumn id="46" xr3:uid="{6014AE20-1E59-4C74-BBDB-282D8E4A50F1}" name="Scope 2 N2O [kg N2O]" totalsRowFunction="sum" dataDxfId="1070" totalsRowDxfId="1069">
      <calculatedColumnFormula>IFERROR(Kühl_und_Kältemittel[[#This Row],[Wert 
(Zahl)]]*Kühl_und_Kältemittel[[#This Row],[EF Scope 2 N2O
(kg N2O/Einheit)]],"")</calculatedColumnFormula>
    </tableColumn>
    <tableColumn id="47" xr3:uid="{85FA6FDE-8FBE-4B5D-BFA4-7D7B9191B43A}" name="Scope 2 HFCs [kg HFCs]" totalsRowFunction="sum" dataDxfId="1068" totalsRowDxfId="1067">
      <calculatedColumnFormula>IFERROR(Kühl_und_Kältemittel[[#This Row],[Wert 
(Zahl)]]*Kühl_und_Kältemittel[[#This Row],[EF Scope 2 HFCs
(kg HFCs/Einheit)]],"")</calculatedColumnFormula>
    </tableColumn>
    <tableColumn id="48" xr3:uid="{9CBD4ECB-C51C-4D30-B26F-4135077C5658}" name="Scope 2 PFCs [kg PFCs]" totalsRowFunction="sum" dataDxfId="1066" totalsRowDxfId="1065">
      <calculatedColumnFormula>IFERROR(Kühl_und_Kältemittel[[#This Row],[Wert 
(Zahl)]]*Kühl_und_Kältemittel[[#This Row],[EF Scope 2 PFCs
(kg PFCs/Einheit)]],"")</calculatedColumnFormula>
    </tableColumn>
    <tableColumn id="49" xr3:uid="{395AB85B-DB84-4371-97AF-A12118C26DEB}" name="Scope 2 SF6 [kg SF6]" totalsRowFunction="sum" dataDxfId="1064" totalsRowDxfId="1063">
      <calculatedColumnFormula>IFERROR(Kühl_und_Kältemittel[[#This Row],[Wert 
(Zahl)]]*Kühl_und_Kältemittel[[#This Row],[EF Scope 2 SF6
(kg SF6/Einheit)]],"")</calculatedColumnFormula>
    </tableColumn>
    <tableColumn id="50" xr3:uid="{F73604D8-A9BE-415B-A7EE-28F11E775D96}" name="Scope 2 NF3 [kg NF3]" totalsRowFunction="sum" dataDxfId="1062" totalsRowDxfId="1061">
      <calculatedColumnFormula>IFERROR(Kühl_und_Kältemittel[[#This Row],[Wert 
(Zahl)]]*Kühl_und_Kältemittel[[#This Row],[EF Scope 2 NF3
(kg NF3/Einheit)]],"")</calculatedColumnFormula>
    </tableColumn>
    <tableColumn id="67" xr3:uid="{27F38C65-3723-4544-81CD-1ECC19ED619F}" name="Scope 2 non-Kyoto [kg non-Kyoto gas]" totalsRowFunction="sum" dataDxfId="1060" totalsRowDxfId="1059">
      <calculatedColumnFormula>IFERROR(Kühl_und_Kältemittel[[#This Row],[Wert 
(Zahl)]]*Kühl_und_Kältemittel[[#This Row],[EF Scope 2 Nicht-Kyoto-Gase (kg Nicht-Kyoto-Gase/Einheit)]],"")</calculatedColumnFormula>
    </tableColumn>
    <tableColumn id="51" xr3:uid="{96D337C4-4B17-461D-B984-271FF8B9031B}" name="Scope 1 CO2 [kg CO2e]" totalsRowFunction="sum" dataDxfId="1058" totalsRowDxfId="1057">
      <calculatedColumnFormula>IF(ISBLANK(Kühl_und_Kältemittel[[#This Row],[Wert 
(Zahl)]]),"",IFERROR(Kühl_und_Kältemittel[[#This Row],[Scope 1 CO2 '[kg CO2']]]*IFERROR(VLOOKUP("CO2",GWP_100[],3,FALSE),0),0))</calculatedColumnFormula>
    </tableColumn>
    <tableColumn id="52" xr3:uid="{C32D8BCC-F5C1-4541-923E-9784C12EA931}" name="Scope 1 CH4 [kg CO2e]" totalsRowFunction="sum" dataDxfId="1056" totalsRowDxfId="1055">
      <calculatedColumnFormula>IF(ISBLANK(Kühl_und_Kältemittel[[#This Row],[Wert 
(Zahl)]]),"",IFERROR(Kühl_und_Kältemittel[[#This Row],[Scope 1 CH4 '[kg CH4']]]*IFERROR(VLOOKUP("CH4",GWP_100[],4,FALSE),0),0))</calculatedColumnFormula>
    </tableColumn>
    <tableColumn id="53" xr3:uid="{1570CC5C-2029-4997-BD63-20F7935CD2D1}" name="Scope 1 N2O [kg CO2e]" totalsRowFunction="sum" dataDxfId="1054" totalsRowDxfId="1053">
      <calculatedColumnFormula>IF(ISBLANK(Kühl_und_Kältemittel[[#This Row],[Wert 
(Zahl)]]),"",IFERROR(Kühl_und_Kältemittel[[#This Row],[Scope 1 N2O '[kg N2O']]]*IFERROR(VLOOKUP("N2O",GWP_100[],5,FALSE),0),0))</calculatedColumnFormula>
    </tableColumn>
    <tableColumn id="54" xr3:uid="{A66884CD-EA19-411B-B5D0-163BBEB7B99B}" name="Scope 1 HFCs [kg CO2e]" totalsRowFunction="sum" dataDxfId="1052" totalsRowDxfId="1051">
      <calculatedColumnFormula>IF(ISBLANK(Kühl_und_Kältemittel[[#This Row],[Wert 
(Zahl)]]),"",IFERROR(Kühl_und_Kältemittel[[#This Row],[Scope 1 HFCs '[kg HFCs']]]*IFERROR(VLOOKUP(Kühl_und_Kältemittel[[#This Row],[Emissionsquelle/Aktivität (Dropdown)]],GWP_100[],6,FALSE),0),0))</calculatedColumnFormula>
    </tableColumn>
    <tableColumn id="55" xr3:uid="{3A097DAB-0B45-4B9E-9F56-D1DC0770FB46}" name="Scope 1 PFCs [kg CO2e]" totalsRowFunction="sum" dataDxfId="1050" totalsRowDxfId="1049">
      <calculatedColumnFormula>IF(ISBLANK(Kühl_und_Kältemittel[[#This Row],[Wert 
(Zahl)]]),"",IFERROR(Kühl_und_Kältemittel[[#This Row],[Scope 1 PFCs '[kg PFCs']]]*IFERROR(VLOOKUP(Kühl_und_Kältemittel[[#This Row],[Emissionsquelle/Aktivität (Dropdown)]],GWP_100[],7,FALSE),0),0))</calculatedColumnFormula>
    </tableColumn>
    <tableColumn id="56" xr3:uid="{19BD7890-84FD-4378-83AD-FF950B6FACF1}" name="Scope 1 SF6 [kg CO2e]" totalsRowFunction="sum" dataDxfId="1048" totalsRowDxfId="1047">
      <calculatedColumnFormula>IF(ISBLANK(Kühl_und_Kältemittel[[#This Row],[Wert 
(Zahl)]]),"",IFERROR(Kühl_und_Kältemittel[[#This Row],[Scope 1 SF6 '[kg SF6']]]*IFERROR(VLOOKUP("SF6",GWP_100[],8,FALSE),0),0))</calculatedColumnFormula>
    </tableColumn>
    <tableColumn id="57" xr3:uid="{9B507AD0-A767-4B0C-A659-10FACE0E2BFB}" name="Scope 1 NF3 [kg CO2e]" totalsRowFunction="sum" dataDxfId="1046" totalsRowDxfId="1045">
      <calculatedColumnFormula>IF(ISBLANK(Kühl_und_Kältemittel[[#This Row],[Wert 
(Zahl)]]),"",IFERROR(Kühl_und_Kältemittel[[#This Row],[Scope 1 NF3 '[kg NF3']]]*IFERROR(VLOOKUP("NF3",GWP_100[],9,FALSE),0),0))</calculatedColumnFormula>
    </tableColumn>
    <tableColumn id="68" xr3:uid="{986CA466-F442-45E3-9A92-E16BE2B12F3E}" name="Scope 1 non-Kyoto [kg CO2e]" totalsRowFunction="sum" dataDxfId="1044" totalsRowDxfId="1043">
      <calculatedColumnFormula>IF(ISBLANK(Kühl_und_Kältemittel[[#This Row],[Wert 
(Zahl)]]),"",IFERROR(Kühl_und_Kältemittel[[#This Row],[Scope 1 non-Kyoto '[kg non-Kyoto gas']]]*IFERROR(VLOOKUP(Kühl_und_Kältemittel[[#This Row],[Emissionsquelle/Aktivität (Dropdown)]],GWP_100[],10,FALSE),0),0))</calculatedColumnFormula>
    </tableColumn>
    <tableColumn id="58" xr3:uid="{0DC35C33-95CA-4EC8-9F06-06D4DA784EA8}" name="Scope 2 CO2 [kg CO2e]" totalsRowFunction="sum" dataDxfId="1042" totalsRowDxfId="1041">
      <calculatedColumnFormula>IF(ISBLANK(Kühl_und_Kältemittel[[#This Row],[Wert 
(Zahl)]]),"",IFERROR(Kühl_und_Kältemittel[[#This Row],[Scope 2 CO2 '[kg CO2']]]*IFERROR(VLOOKUP("CO2",GWP_100[],3,FALSE),0),0))</calculatedColumnFormula>
    </tableColumn>
    <tableColumn id="59" xr3:uid="{1B1363EA-4275-4B34-A8A2-23FBF1A6293B}" name="Scope 2 CH4 [kg CO2e]" totalsRowFunction="sum" dataDxfId="1040" totalsRowDxfId="1039">
      <calculatedColumnFormula>IF(ISBLANK(Kühl_und_Kältemittel[[#This Row],[Wert 
(Zahl)]]),"",IFERROR(Kühl_und_Kältemittel[[#This Row],[Scope 2 CH4 '[kg CH4']]]*IFERROR(VLOOKUP("CH4",GWP_100[],4,FALSE),0),0))</calculatedColumnFormula>
    </tableColumn>
    <tableColumn id="60" xr3:uid="{C3BBB3E7-DFDE-49D2-ABF4-8E35CC6AC8A2}" name="Scope 2 N2O [kg CO2e]" totalsRowFunction="sum" dataDxfId="1038" totalsRowDxfId="1037">
      <calculatedColumnFormula>IF(ISBLANK(Kühl_und_Kältemittel[[#This Row],[Wert 
(Zahl)]]),"",IFERROR(Kühl_und_Kältemittel[[#This Row],[Scope 2 N2O '[kg N2O']]]*IFERROR(VLOOKUP("N2O",GWP_100[],5,FALSE),0),0))</calculatedColumnFormula>
    </tableColumn>
    <tableColumn id="61" xr3:uid="{F247043C-97BC-4ECA-ACDE-EDF13531B5D7}" name="Scope 2 HFCs [kg CO2e]" totalsRowFunction="sum" dataDxfId="1036" totalsRowDxfId="1035">
      <calculatedColumnFormula>IF(ISBLANK(Kühl_und_Kältemittel[[#This Row],[Wert 
(Zahl)]]),"",IFERROR(Kühl_und_Kältemittel[[#This Row],[Scope 2 HFCs '[kg HFCs']]]*IFERROR(VLOOKUP(Kühl_und_Kältemittel[[#This Row],[Emissionsquelle/Aktivität (Dropdown)]],GWP_100[],6,FALSE),0),0))</calculatedColumnFormula>
    </tableColumn>
    <tableColumn id="62" xr3:uid="{5D7B2CB6-E718-47BE-BF66-DF952974BF3F}" name="Scope 2 PFCs [kg CO2e]" totalsRowFunction="sum" dataDxfId="1034" totalsRowDxfId="1033">
      <calculatedColumnFormula>IF(ISBLANK(Kühl_und_Kältemittel[[#This Row],[Wert 
(Zahl)]]),"",IFERROR(Kühl_und_Kältemittel[[#This Row],[Scope 2 PFCs '[kg PFCs']]]*IFERROR(VLOOKUP(Kühl_und_Kältemittel[[#This Row],[Emissionsquelle/Aktivität (Dropdown)]],GWP_100[],7,FALSE),0),0))</calculatedColumnFormula>
    </tableColumn>
    <tableColumn id="63" xr3:uid="{E42A1A32-60E2-4647-98F3-BBE16F8C878B}" name="Scope 2 SF6 [kg CO2e]" totalsRowFunction="sum" dataDxfId="1032" totalsRowDxfId="1031">
      <calculatedColumnFormula>IF(ISBLANK(Kühl_und_Kältemittel[[#This Row],[Wert 
(Zahl)]]),"",IFERROR(Kühl_und_Kältemittel[[#This Row],[Scope 2 SF6 '[kg SF6']]]*IFERROR(VLOOKUP("SF6",GWP_100[],8,FALSE),0),0))</calculatedColumnFormula>
    </tableColumn>
    <tableColumn id="64" xr3:uid="{0EBF5F3F-772B-4195-B7E0-DB137ADCB415}" name="Scope 2 NF3 [kg CO2e]" totalsRowFunction="sum" dataDxfId="1030" totalsRowDxfId="1029">
      <calculatedColumnFormula>IF(ISBLANK(Kühl_und_Kältemittel[[#This Row],[Wert 
(Zahl)]]),"",IFERROR(Kühl_und_Kältemittel[[#This Row],[Scope 2 NF3 '[kg NF3']]]*IFERROR(VLOOKUP("NF3",GWP_100[],9,FALSE),0),0))</calculatedColumnFormula>
    </tableColumn>
    <tableColumn id="69" xr3:uid="{13A23F24-8EDA-421B-BDEF-0EACC6BC020C}" name="Scope 2 non-Kyoto [kg CO2e]" totalsRowFunction="sum" dataDxfId="1028" totalsRowDxfId="1027">
      <calculatedColumnFormula>IF(ISBLANK(Kühl_und_Kältemittel[[#This Row],[Wert 
(Zahl)]]),"",IFERROR(Kühl_und_Kältemittel[[#This Row],[Scope 2 non-Kyoto '[kg non-Kyoto gas']]]*IFERROR(VLOOKUP(Kühl_und_Kältemittel[[#This Row],[Emissionsquelle/Aktivität (Dropdown)]],GWP_100[],10,FALSE),0),0))</calculatedColumnFormula>
    </tableColumn>
  </tableColumns>
  <tableStyleInfo name="Tabelle KBK"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68B41EA0-1FD7-487D-AFA3-155680CAC05B}" name="Fuhrpark" displayName="Fuhrpark" ref="C109:BV130" totalsRowCount="1" headerRowDxfId="1026" dataDxfId="1025" totalsRowDxfId="1024">
  <tableColumns count="72">
    <tableColumn id="20" xr3:uid="{3F033285-B477-455F-8D53-3BDB290413DE}" name="Sektor_Thema" dataDxfId="1023" totalsRowDxfId="202">
      <calculatedColumnFormula>$C$108</calculatedColumnFormula>
    </tableColumn>
    <tableColumn id="3" xr3:uid="{9E1326DC-C4F8-4293-9E17-BDD116ADB813}" name="Zuordnung Gliederungselement (Dropdown)" totalsRowLabel="Summe" dataDxfId="1022" totalsRowDxfId="201"/>
    <tableColumn id="4" xr3:uid="{14F7B6DC-47C6-47DE-9379-6F029DC31C94}" name="Emissionsquelle/Aktivität (Dropdown)" dataDxfId="1021" totalsRowDxfId="200"/>
    <tableColumn id="6" xr3:uid="{467056CC-C86A-407D-A724-564BC98D1CDB}" name="Wert _x000a_(Zahl)" dataDxfId="1020" totalsRowDxfId="199"/>
    <tableColumn id="5" xr3:uid="{9BD42586-3C3C-4542-8AD4-29EFF5F2073D}" name="Einheit _x000a_(vorausgefüllt)" dataDxfId="1019" totalsRowDxfId="198">
      <calculatedColumnFormula>IFERROR(VLOOKUP(Fuhrpark[[#This Row],[Thema_Bezeichung]],EFs_Fuhrpark[],4,FALSE),"")</calculatedColumnFormula>
    </tableColumn>
    <tableColumn id="7" xr3:uid="{E5AB815D-626F-4236-8B2F-1FD3732F30AA}" name="Datenqualität Wert (Dropdown)" dataDxfId="1018" totalsRowDxfId="197"/>
    <tableColumn id="36" xr3:uid="{549FCFB8-5D7C-4448-BD79-11EDAFE997E7}" name="Scope-2-Emissionsfaktor Vertragsstrommix_x000a_[g CO2e/kWh]_x000a_(falls verfügbar)" dataDxfId="1017" totalsRowDxfId="196"/>
    <tableColumn id="8" xr3:uid="{4ED6AA0B-13A9-43AA-A7B6-C222A78B0FFE}" name="Notiz - Datenquelle _x000a_(Text)" dataDxfId="1016" totalsRowDxfId="195"/>
    <tableColumn id="9" xr3:uid="{FFDE916D-036C-49F7-B6A3-869A9FD3FC24}" name="Notiz - Kommentar _x000a_(Text)" dataDxfId="1015" totalsRowDxfId="194"/>
    <tableColumn id="24" xr3:uid="{9B72FBAB-4BBA-456A-ADA2-5600407E6F8B}" name="Ergebnis_x000a_[kg CO2e]_x000a_(vorausgefüllt)" totalsRowFunction="sum" dataDxfId="1014" totalsRowDxfId="193">
      <calculatedColumnFormula>IF(ISBLANK(Fuhrpark[[#This Row],[Wert 
(Zahl)]]),"", SUM(Fuhrpark[[#This Row],[Scope 1 CO2e '[kg CO2e']]:[Scope 3 CO2e '[kg CO2e']]]))</calculatedColumnFormula>
    </tableColumn>
    <tableColumn id="2" xr3:uid="{66B94D64-C041-4654-8C06-11D92516E021}" name="Ergebnis Scope 2 market-based_x000a_[kg CO2e]_x000a_(vorausgefüllt)" totalsRowFunction="sum" dataDxfId="277" totalsRowDxfId="192">
      <calculatedColumnFormula>IF(OR(ISBLANK(Fuhrpark[[#This Row],[Wert 
(Zahl)]]),Fuhrpark[[#This Row],[Emissionsquelle/Aktivität (Dropdown)]]&lt;&gt;"Strom (externes Laden, Deutschland)"),"", SUM(Fuhrpark[[#This Row],[Scope 1 CO2e '[kg CO2e']]],Fuhrpark[[#This Row],[Scope 2 CO2e market-based '[kg CO2e']]],Fuhrpark[[#This Row],[Scope 3 CO2e '[kg CO2e']]]))</calculatedColumnFormula>
    </tableColumn>
    <tableColumn id="71" xr3:uid="{896AF26F-3556-498B-A79F-DA0EE122FE33}" name="Spalte1" dataDxfId="1013" totalsRowDxfId="191"/>
    <tableColumn id="25" xr3:uid="{0CDD8454-1E18-4F26-ABDB-1641880A881F}" name="Thema_Bezeichung" dataDxfId="1012" totalsRowDxfId="190">
      <calculatedColumnFormula>IF(ISBLANK(Fuhrpark[[#This Row],[Emissionsquelle/Aktivität (Dropdown)]]),"",CONCATENATE(Fuhrpark[[#This Row],[Sektor_Thema]]," - ",Fuhrpark[[#This Row],[Emissionsquelle/Aktivität (Dropdown)]]))</calculatedColumnFormula>
    </tableColumn>
    <tableColumn id="34" xr3:uid="{FD246D68-B9C3-4CA3-A87B-CE0317F4F365}" name="Vertragsstrommix angegegeben?" dataDxfId="1011" totalsRowDxfId="189">
      <calculatedColumnFormula>IF(ISBLANK(Fuhrpark[[#This Row],[Emissionsquelle/Aktivität (Dropdown)]]),"",AND(Fuhrpark[[#This Row],[Emissionsquelle/Aktivität (Dropdown)]]="Strom (externes laden, Deutschland)",ISNUMBER(Fuhrpark[[#This Row],[Scope-2-Emissionsfaktor Vertragsstrommix
'[g CO2e/kWh']
(falls verfügbar)]])))</calculatedColumnFormula>
    </tableColumn>
    <tableColumn id="10" xr3:uid="{A6DFFF71-CBEA-43BF-B4B6-E58E74F3D47F}" name="EF Scope 1 CO2e_x000a_(kg CO2e/Einheit)" dataDxfId="1010" totalsRowDxfId="188">
      <calculatedColumnFormula>IFERROR(VLOOKUP(Fuhrpark[[#This Row],[Thema_Bezeichung]],EFs_Fuhrpark[],5,FALSE),"")</calculatedColumnFormula>
    </tableColumn>
    <tableColumn id="26" xr3:uid="{07C16839-4BF2-4BA8-BDA9-7945FFEDF65C}" name="EF Scope 1 CO2_x000a_(kg CO2/Einheit)" dataDxfId="1009" totalsRowDxfId="187">
      <calculatedColumnFormula>IFERROR(VLOOKUP(Fuhrpark[[#This Row],[Thema_Bezeichung]],EFs_Fuhrpark[],6,FALSE),"")</calculatedColumnFormula>
    </tableColumn>
    <tableColumn id="23" xr3:uid="{455A4054-75A0-43C1-9155-271376EE1A5E}" name="EF Scope 1 CH4_x000a_(kg CH4/Einheit)" dataDxfId="1008" totalsRowDxfId="186">
      <calculatedColumnFormula>IFERROR(VLOOKUP(Fuhrpark[[#This Row],[Thema_Bezeichung]],EFs_Fuhrpark[],7,FALSE),"")</calculatedColumnFormula>
    </tableColumn>
    <tableColumn id="22" xr3:uid="{0348A2B8-DF79-416C-87E8-750E32920D0E}" name="EF Scope 1 N2O_x000a_(kg N2O/Einheit)" dataDxfId="1007" totalsRowDxfId="185">
      <calculatedColumnFormula>IFERROR(VLOOKUP(Fuhrpark[[#This Row],[Thema_Bezeichung]],EFs_Fuhrpark[],8,FALSE),"")</calculatedColumnFormula>
    </tableColumn>
    <tableColumn id="21" xr3:uid="{C98413E7-34D8-4A81-BC94-86009C1EA00F}" name="EF Scope 1 HFCs_x000a_(kg HFCs/Einheit)" dataDxfId="1006" totalsRowDxfId="184">
      <calculatedColumnFormula>IFERROR(VLOOKUP(Fuhrpark[[#This Row],[Thema_Bezeichung]],EFs_Fuhrpark[],9,FALSE),"")</calculatedColumnFormula>
    </tableColumn>
    <tableColumn id="19" xr3:uid="{4AD0D491-34CA-46B9-89A4-3FDBFA1D72B9}" name="EF Scope 1 PFCs_x000a_(kg PFCs/Einheit)" dataDxfId="1005" totalsRowDxfId="183">
      <calculatedColumnFormula>IFERROR(VLOOKUP(Fuhrpark[[#This Row],[Thema_Bezeichung]],EFs_Fuhrpark[],10,FALSE),"")</calculatedColumnFormula>
    </tableColumn>
    <tableColumn id="15" xr3:uid="{62D500F4-A79B-4756-A78E-54455AD316CB}" name="EF Scope 1 SF6_x000a_(kg SF6/Einheit)" dataDxfId="1004" totalsRowDxfId="182">
      <calculatedColumnFormula>IFERROR(VLOOKUP(Fuhrpark[[#This Row],[Thema_Bezeichung]],EFs_Fuhrpark[],11,FALSE),"")</calculatedColumnFormula>
    </tableColumn>
    <tableColumn id="14" xr3:uid="{54CAD2CD-7D34-4E3F-8E51-672BB780234F}" name="EF Scope 1 NF3_x000a_(kg NF3/Einheit)" dataDxfId="1003" totalsRowDxfId="181">
      <calculatedColumnFormula>IFERROR(VLOOKUP(Fuhrpark[[#This Row],[Thema_Bezeichung]],EFs_Fuhrpark[],12,FALSE),"")</calculatedColumnFormula>
    </tableColumn>
    <tableColumn id="1" xr3:uid="{B6D40F00-2C5D-46D3-BBE8-CCB263341D86}" name="EF Scope 1 Nicht-Kyoto-Gase (kg Nicht-Kyoto-Gase/Einheit)" dataDxfId="1002" totalsRowDxfId="180">
      <calculatedColumnFormula>IFERROR(VLOOKUP(Fuhrpark[[#This Row],[Thema_Bezeichung]],EFs_Fuhrpark[],13,FALSE),"")</calculatedColumnFormula>
    </tableColumn>
    <tableColumn id="13" xr3:uid="{E84B3667-F91D-40B3-A447-6A2B6BD15CB9}" name="EF Scope 1 CO2 biogen_x000a_(kg CO2 /Einheit)" dataDxfId="1001" totalsRowDxfId="179">
      <calculatedColumnFormula>IFERROR(VLOOKUP(Fuhrpark[[#This Row],[Thema_Bezeichung]],EFs_Fuhrpark[],14,FALSE),"")</calculatedColumnFormula>
    </tableColumn>
    <tableColumn id="11" xr3:uid="{F1C9E3FD-1E89-4082-A53A-826D40EBAF15}" name="EF Scope 2 CO2e_x000a_(kg CO2e/Einheit)" dataDxfId="1000" totalsRowDxfId="178">
      <calculatedColumnFormula>IFERROR(VLOOKUP(Fuhrpark[[#This Row],[Thema_Bezeichung]],EFs_Fuhrpark[],15,FALSE),"")</calculatedColumnFormula>
    </tableColumn>
    <tableColumn id="35" xr3:uid="{911A2FE5-95CD-4A9E-81DA-B3B4D4BFBD12}" name="Scope 2 Emissionsfaktor market-based [kg CO2e/Einheit]" dataDxfId="999" totalsRowDxfId="177">
      <calculatedColumnFormula>IF(Fuhrpark[[#This Row],[Vertragsstrommix angegegeben?]]=TRUE,Fuhrpark[[#This Row],[Scope-2-Emissionsfaktor Vertragsstrommix
'[g CO2e/kWh']
(falls verfügbar)]]/1000,IFERROR(VLOOKUP(Fuhrpark[[#This Row],[Thema_Bezeichung]],EFs_Fuhrpark[],15,FALSE),""))</calculatedColumnFormula>
    </tableColumn>
    <tableColumn id="33" xr3:uid="{6B63FE26-F29C-47B1-80A0-0D867137D9A9}" name="EF Scope 2 CO2_x000a_(kg CO2/Einheit)" dataDxfId="998" totalsRowDxfId="176">
      <calculatedColumnFormula>IFERROR(VLOOKUP(Fuhrpark[[#This Row],[Thema_Bezeichung]],EFs_Fuhrpark[],16,FALSE),"")</calculatedColumnFormula>
    </tableColumn>
    <tableColumn id="32" xr3:uid="{697B314B-20E5-4F59-9112-965817D6469F}" name="EF Scope 2 CH4_x000a_(kg CH4/Einheit)" dataDxfId="997" totalsRowDxfId="175">
      <calculatedColumnFormula>IFERROR(VLOOKUP(Fuhrpark[[#This Row],[Thema_Bezeichung]],EFs_Fuhrpark[],17,FALSE),"")</calculatedColumnFormula>
    </tableColumn>
    <tableColumn id="31" xr3:uid="{BB4B6B0E-7C42-41E8-BBE2-6E04303FC4F0}" name="EF Scope 2 N2O_x000a_(kg N2O/Einheit)" dataDxfId="996" totalsRowDxfId="174">
      <calculatedColumnFormula>IFERROR(VLOOKUP(Fuhrpark[[#This Row],[Thema_Bezeichung]],EFs_Fuhrpark[],18,FALSE),"")</calculatedColumnFormula>
    </tableColumn>
    <tableColumn id="30" xr3:uid="{D5EBA2E2-F507-48E6-A9D1-D6556C37381E}" name="EF Scope 2 HFCs_x000a_(kg HFCs/Einheit)" dataDxfId="995" totalsRowDxfId="173">
      <calculatedColumnFormula>IFERROR(VLOOKUP(Fuhrpark[[#This Row],[Thema_Bezeichung]],EFs_Fuhrpark[],19,FALSE),"")</calculatedColumnFormula>
    </tableColumn>
    <tableColumn id="29" xr3:uid="{F04F6118-B633-401E-9F3E-8C6E5DD59943}" name="EF Scope 2 PFCs_x000a_(kg PFCs/Einheit)" dataDxfId="994" totalsRowDxfId="172">
      <calculatedColumnFormula>IFERROR(VLOOKUP(Fuhrpark[[#This Row],[Thema_Bezeichung]],EFs_Fuhrpark[],20,FALSE),"")</calculatedColumnFormula>
    </tableColumn>
    <tableColumn id="28" xr3:uid="{B9E6629D-33EF-4ACC-A5C5-F7839B872754}" name="EF Scope 2 SF6_x000a_(kg SF6/Einheit)" dataDxfId="993" totalsRowDxfId="171">
      <calculatedColumnFormula>IFERROR(VLOOKUP(Fuhrpark[[#This Row],[Thema_Bezeichung]],EFs_Fuhrpark[],21,FALSE),"")</calculatedColumnFormula>
    </tableColumn>
    <tableColumn id="27" xr3:uid="{CA5179A5-A4AE-4753-84D3-8064CA0A03A8}" name="EF Scope 2 NF3_x000a_(kg NF3/Einheit)" dataDxfId="992" totalsRowDxfId="170">
      <calculatedColumnFormula>IFERROR(VLOOKUP(Fuhrpark[[#This Row],[Thema_Bezeichung]],EFs_Fuhrpark[],22,FALSE),"")</calculatedColumnFormula>
    </tableColumn>
    <tableColumn id="37" xr3:uid="{7116F5F1-A966-4A61-9A49-26C154996780}" name="EF Scope 2 Nicht-Kyoto-Gase (kg Nicht-Kyoto-Gase/Einheit)" dataDxfId="991" totalsRowDxfId="169">
      <calculatedColumnFormula>IFERROR(VLOOKUP(Fuhrpark[[#This Row],[Thema_Bezeichung]],EFs_Fuhrpark[],23,FALSE),"")</calculatedColumnFormula>
    </tableColumn>
    <tableColumn id="12" xr3:uid="{9F0ED0BC-6D5A-4549-A79C-5858DF0F4AE0}" name="EF Scope 3 CO2e_x000a_(kg CO2e/Einheit)" dataDxfId="990" totalsRowDxfId="168">
      <calculatedColumnFormula>IFERROR(VLOOKUP(Fuhrpark[[#This Row],[Thema_Bezeichung]],EFs_Fuhrpark[],24,FALSE),"")</calculatedColumnFormula>
    </tableColumn>
    <tableColumn id="16" xr3:uid="{48AAE054-571C-43F5-808F-F935CCFBF09E}" name="Scope 1 CO2e [kg CO2e]" totalsRowFunction="sum" dataDxfId="989" totalsRowDxfId="167">
      <calculatedColumnFormula>IFERROR(Fuhrpark[[#This Row],[Wert 
(Zahl)]]*Fuhrpark[[#This Row],[EF Scope 1 CO2e
(kg CO2e/Einheit)]],"")</calculatedColumnFormula>
    </tableColumn>
    <tableColumn id="17" xr3:uid="{D63753EA-ABBE-4EB8-AEB9-4679D677C359}" name="Scope 2 CO2e [kg CO2e]" totalsRowFunction="sum" dataDxfId="988" totalsRowDxfId="166">
      <calculatedColumnFormula>IFERROR(Fuhrpark[[#This Row],[Wert 
(Zahl)]]*Fuhrpark[[#This Row],[EF Scope 2 CO2e
(kg CO2e/Einheit)]],"")</calculatedColumnFormula>
    </tableColumn>
    <tableColumn id="18" xr3:uid="{951C837C-1799-4A9A-A692-4B30A6F2299A}" name="Scope 3 CO2e [kg CO2e]" totalsRowFunction="sum" dataDxfId="987" totalsRowDxfId="165">
      <calculatedColumnFormula>IFERROR(Fuhrpark[[#This Row],[Wert 
(Zahl)]]*Fuhrpark[[#This Row],[EF Scope 3 CO2e
(kg CO2e/Einheit)]],"")</calculatedColumnFormula>
    </tableColumn>
    <tableColumn id="38" xr3:uid="{7438027E-170D-4C45-A738-B099D44DC0C7}" name="Scope 1 CO2 biogen [kg CO2]" totalsRowFunction="sum" dataDxfId="986" totalsRowDxfId="164">
      <calculatedColumnFormula>IFERROR(Fuhrpark[[#This Row],[Wert 
(Zahl)]]*Fuhrpark[[#This Row],[EF Scope 1 CO2 biogen
(kg CO2 /Einheit)]],"")</calculatedColumnFormula>
    </tableColumn>
    <tableColumn id="39" xr3:uid="{77DD0C70-E938-4B37-8B2F-64AA54680723}" name="Scope 2 CO2e market-based [kg CO2e]" totalsRowFunction="sum" dataDxfId="985" totalsRowDxfId="163">
      <calculatedColumnFormula>IFERROR(Fuhrpark[[#This Row],[Wert 
(Zahl)]]*Fuhrpark[[#This Row],[Scope 2 Emissionsfaktor market-based '[kg CO2e/Einheit']]],"")</calculatedColumnFormula>
    </tableColumn>
    <tableColumn id="41" xr3:uid="{1331C04B-8C36-412D-8C17-A51ED5594839}" name="Scope 1 CO2 [kg CO2]" totalsRowFunction="sum" dataDxfId="984" totalsRowDxfId="162">
      <calculatedColumnFormula>IFERROR(Fuhrpark[[#This Row],[Wert 
(Zahl)]]*Fuhrpark[[#This Row],[EF Scope 1 CO2
(kg CO2/Einheit)]],"")</calculatedColumnFormula>
    </tableColumn>
    <tableColumn id="42" xr3:uid="{9170859D-5B83-41DA-86A7-0C89820E82BD}" name="Scope 1 CH4 [kg CH4]" totalsRowFunction="sum" dataDxfId="983" totalsRowDxfId="161">
      <calculatedColumnFormula>IFERROR(Fuhrpark[[#This Row],[Wert 
(Zahl)]]*Fuhrpark[[#This Row],[EF Scope 1 CH4
(kg CH4/Einheit)]],"")</calculatedColumnFormula>
    </tableColumn>
    <tableColumn id="43" xr3:uid="{049165E9-8CD9-4885-A18D-29C1E2E8FFDF}" name="Scope 1 N2O [kg N2O]" totalsRowFunction="sum" dataDxfId="982" totalsRowDxfId="160">
      <calculatedColumnFormula>IFERROR(Fuhrpark[[#This Row],[Wert 
(Zahl)]]*Fuhrpark[[#This Row],[EF Scope 1 N2O
(kg N2O/Einheit)]],"")</calculatedColumnFormula>
    </tableColumn>
    <tableColumn id="44" xr3:uid="{72D3BEB2-23E5-470F-8CEF-F97D51A61BA9}" name="Scope 1 HFCs [kg HFCs]" totalsRowFunction="sum" dataDxfId="981" totalsRowDxfId="159">
      <calculatedColumnFormula>IFERROR(Fuhrpark[[#This Row],[Wert 
(Zahl)]]*Fuhrpark[[#This Row],[EF Scope 1 HFCs
(kg HFCs/Einheit)]],"")</calculatedColumnFormula>
    </tableColumn>
    <tableColumn id="45" xr3:uid="{4631538D-E1C4-4551-A881-E19B1CA53E99}" name="Scope 1 PFCs [kg PFCs]" totalsRowFunction="sum" dataDxfId="980" totalsRowDxfId="158">
      <calculatedColumnFormula>IFERROR(Fuhrpark[[#This Row],[Wert 
(Zahl)]]*Fuhrpark[[#This Row],[EF Scope 1 PFCs
(kg PFCs/Einheit)]],"")</calculatedColumnFormula>
    </tableColumn>
    <tableColumn id="46" xr3:uid="{739970DE-C012-4A01-A912-18A07009785A}" name="Scope 1 SF6 [kg SF6]" totalsRowFunction="sum" dataDxfId="979" totalsRowDxfId="157">
      <calculatedColumnFormula>IFERROR(Fuhrpark[[#This Row],[Wert 
(Zahl)]]*Fuhrpark[[#This Row],[EF Scope 1 SF6
(kg SF6/Einheit)]],"")</calculatedColumnFormula>
    </tableColumn>
    <tableColumn id="47" xr3:uid="{3D03988C-BB5D-40AE-9C9F-2A698DE7B69F}" name="Scope 1 NF3 [kg NF3]" totalsRowFunction="sum" dataDxfId="978" totalsRowDxfId="156">
      <calculatedColumnFormula>IFERROR(Fuhrpark[[#This Row],[Wert 
(Zahl)]]*Fuhrpark[[#This Row],[EF Scope 1 NF3
(kg NF3/Einheit)]],"")</calculatedColumnFormula>
    </tableColumn>
    <tableColumn id="70" xr3:uid="{3C2D137E-2EEC-46F8-AE76-1750D048B651}" name="Scope 1 non-Kyoto [kg non-Kyoto gas]" totalsRowFunction="sum" dataDxfId="977" totalsRowDxfId="155">
      <calculatedColumnFormula>IFERROR(Fuhrpark[[#This Row],[Wert 
(Zahl)]]*Fuhrpark[[#This Row],[EF Scope 1 Nicht-Kyoto-Gase (kg Nicht-Kyoto-Gase/Einheit)]],"")</calculatedColumnFormula>
    </tableColumn>
    <tableColumn id="48" xr3:uid="{AD457C2F-481A-4552-8EA6-A80909F38D83}" name="Scope 2 CO2 [kg CO2]" totalsRowFunction="sum" dataDxfId="976" totalsRowDxfId="154">
      <calculatedColumnFormula>IFERROR(Fuhrpark[[#This Row],[Wert 
(Zahl)]]*Fuhrpark[[#This Row],[EF Scope 2 CO2
(kg CO2/Einheit)]],"")</calculatedColumnFormula>
    </tableColumn>
    <tableColumn id="49" xr3:uid="{F92D2911-D420-4E7D-A03D-7663F066901D}" name="Scope 2 CH4 [kg CH4]" totalsRowFunction="sum" dataDxfId="975" totalsRowDxfId="153">
      <calculatedColumnFormula>IFERROR(Fuhrpark[[#This Row],[Wert 
(Zahl)]]*Fuhrpark[[#This Row],[EF Scope 2 CH4
(kg CH4/Einheit)]],"")</calculatedColumnFormula>
    </tableColumn>
    <tableColumn id="50" xr3:uid="{833D3C4E-65CA-4A78-8F31-3F9EC28BACCE}" name="Scope 2 N2O [kg N2O]" totalsRowFunction="sum" dataDxfId="974" totalsRowDxfId="152">
      <calculatedColumnFormula>IFERROR(Fuhrpark[[#This Row],[Wert 
(Zahl)]]*Fuhrpark[[#This Row],[EF Scope 2 N2O
(kg N2O/Einheit)]],"")</calculatedColumnFormula>
    </tableColumn>
    <tableColumn id="51" xr3:uid="{C3B28E2C-61BF-4EA4-ABED-13ECB979967D}" name="Scope 2 HFCs [kg HFCs]" totalsRowFunction="sum" dataDxfId="973" totalsRowDxfId="151">
      <calculatedColumnFormula>IFERROR(Fuhrpark[[#This Row],[Wert 
(Zahl)]]*Fuhrpark[[#This Row],[EF Scope 2 HFCs
(kg HFCs/Einheit)]],"")</calculatedColumnFormula>
    </tableColumn>
    <tableColumn id="52" xr3:uid="{0854C699-BEB1-41BA-AD28-CD0A9F634140}" name="Scope 2 PFCs [kg PFCs]" totalsRowFunction="sum" dataDxfId="972" totalsRowDxfId="150">
      <calculatedColumnFormula>IFERROR(Fuhrpark[[#This Row],[Wert 
(Zahl)]]*Fuhrpark[[#This Row],[EF Scope 2 PFCs
(kg PFCs/Einheit)]],"")</calculatedColumnFormula>
    </tableColumn>
    <tableColumn id="53" xr3:uid="{5D708FC0-D358-44B5-B137-A27B765F9E16}" name="Scope 2 SF6 [kg SF6]" totalsRowFunction="sum" dataDxfId="971" totalsRowDxfId="149">
      <calculatedColumnFormula>IFERROR(Fuhrpark[[#This Row],[Wert 
(Zahl)]]*Fuhrpark[[#This Row],[EF Scope 2 SF6
(kg SF6/Einheit)]],"")</calculatedColumnFormula>
    </tableColumn>
    <tableColumn id="54" xr3:uid="{842B99C2-96E4-4FD0-AB53-24C1CE5C84AF}" name="Scope 2 NF3 [kg NF3]" totalsRowFunction="sum" dataDxfId="970" totalsRowDxfId="148">
      <calculatedColumnFormula>IFERROR(Fuhrpark[[#This Row],[Wert 
(Zahl)]]*Fuhrpark[[#This Row],[EF Scope 2 NF3
(kg NF3/Einheit)]],"")</calculatedColumnFormula>
    </tableColumn>
    <tableColumn id="69" xr3:uid="{E5057F78-1B27-429D-91A5-256F9BB3FD5C}" name="Scope 2 non-Kyoto [kg non-Kyoto gas]" totalsRowFunction="sum" dataDxfId="969" totalsRowDxfId="147">
      <calculatedColumnFormula>IFERROR(Fuhrpark[[#This Row],[Wert 
(Zahl)]]*Fuhrpark[[#This Row],[EF Scope 2 Nicht-Kyoto-Gase (kg Nicht-Kyoto-Gase/Einheit)]],"")</calculatedColumnFormula>
    </tableColumn>
    <tableColumn id="55" xr3:uid="{C5F15FB0-5F0F-4065-A5DB-8648E43CA6FE}" name="Scope 1 CO2 [kg CO2e]" totalsRowFunction="sum" dataDxfId="968" totalsRowDxfId="146">
      <calculatedColumnFormula>IF(ISBLANK(Fuhrpark[[#This Row],[Wert 
(Zahl)]]),"",IFERROR(Fuhrpark[[#This Row],[Scope 1 CO2 '[kg CO2']]]*IFERROR(VLOOKUP("CO2",GWP_100[],3,FALSE),0),0))</calculatedColumnFormula>
    </tableColumn>
    <tableColumn id="56" xr3:uid="{F3C4E1EF-0B74-405B-ABFD-58028EEF3449}" name="Scope 1 CH4 [kg CO2e]" totalsRowFunction="sum" dataDxfId="967" totalsRowDxfId="145">
      <calculatedColumnFormula>IF(ISBLANK(Fuhrpark[[#This Row],[Wert 
(Zahl)]]),"",IFERROR(Fuhrpark[[#This Row],[Scope 1 CH4 '[kg CH4']]]*IFERROR(VLOOKUP("CH4",GWP_100[],4,FALSE),0),0))</calculatedColumnFormula>
    </tableColumn>
    <tableColumn id="57" xr3:uid="{111B9A74-56DD-4793-968B-43D5B670B80D}" name="Scope 1 N2O [kg CO2e]" totalsRowFunction="sum" dataDxfId="966" totalsRowDxfId="144">
      <calculatedColumnFormula>IF(ISBLANK(Fuhrpark[[#This Row],[Wert 
(Zahl)]]),"",IFERROR(Fuhrpark[[#This Row],[Scope 1 N2O '[kg N2O']]]*IFERROR(VLOOKUP("N2O",GWP_100[],5,FALSE),0),0))</calculatedColumnFormula>
    </tableColumn>
    <tableColumn id="58" xr3:uid="{556C71A6-921A-4FF4-ABFB-9645D187CAE6}" name="Scope 1 HFCs [kg CO2e]" totalsRowFunction="sum" dataDxfId="965" totalsRowDxfId="143">
      <calculatedColumnFormula>IF(ISBLANK(Fuhrpark[[#This Row],[Wert 
(Zahl)]]),"",IFERROR(Fuhrpark[[#This Row],[Scope 1 HFCs '[kg HFCs']]]*IFERROR(VLOOKUP(Fuhrpark[[#This Row],[Emissionsquelle/Aktivität (Dropdown)]],GWP_100[],6,FALSE),0),0))</calculatedColumnFormula>
    </tableColumn>
    <tableColumn id="59" xr3:uid="{EEBFF405-43AD-4E0A-B8AE-0D40395C61C8}" name="Scope 1 PFCs [kg CO2e]" totalsRowFunction="sum" dataDxfId="964" totalsRowDxfId="142">
      <calculatedColumnFormula>IF(ISBLANK(Fuhrpark[[#This Row],[Wert 
(Zahl)]]),"",IFERROR(Fuhrpark[[#This Row],[Scope 1 PFCs '[kg PFCs']]]*IFERROR(VLOOKUP(Fuhrpark[[#This Row],[Emissionsquelle/Aktivität (Dropdown)]],GWP_100[],7,FALSE),0),0))</calculatedColumnFormula>
    </tableColumn>
    <tableColumn id="60" xr3:uid="{62EB0A78-CDAC-4173-BAA9-BA8A10AB789D}" name="Scope 1 SF6 [kg CO2e]" totalsRowFunction="sum" dataDxfId="963" totalsRowDxfId="141">
      <calculatedColumnFormula>IF(ISBLANK(Fuhrpark[[#This Row],[Wert 
(Zahl)]]),"",IFERROR(Fuhrpark[[#This Row],[Scope 1 SF6 '[kg SF6']]]*IFERROR(VLOOKUP("SF6",GWP_100[],8,FALSE),0),0))</calculatedColumnFormula>
    </tableColumn>
    <tableColumn id="61" xr3:uid="{6BEDC720-2932-4787-A6A9-5BD070E563E8}" name="Scope 1 NF3 [kg CO2e]" totalsRowFunction="sum" dataDxfId="962" totalsRowDxfId="140">
      <calculatedColumnFormula>IF(ISBLANK(Fuhrpark[[#This Row],[Wert 
(Zahl)]]),"",IFERROR(Fuhrpark[[#This Row],[Scope 1 NF3 '[kg NF3']]]*IFERROR(VLOOKUP("NF3",GWP_100[],9,FALSE),0),0))</calculatedColumnFormula>
    </tableColumn>
    <tableColumn id="40" xr3:uid="{E10C7246-F985-4E8D-A981-48E34416694A}" name="Scope 1 non-Kyoto [kg CO2e]" totalsRowFunction="sum" dataDxfId="961" totalsRowDxfId="139">
      <calculatedColumnFormula>IF(ISBLANK(Fuhrpark[[#This Row],[Wert 
(Zahl)]]),"",IFERROR(Fuhrpark[[#This Row],[Scope 1 non-Kyoto '[kg non-Kyoto gas']]]*IFERROR(VLOOKUP(Fuhrpark[[#This Row],[Emissionsquelle/Aktivität (Dropdown)]],GWP_100[],10,FALSE),0),0))</calculatedColumnFormula>
    </tableColumn>
    <tableColumn id="62" xr3:uid="{5153E670-609C-4828-AF8F-D089D4FB1482}" name="Scope 2 CO2 [kg CO2e]" totalsRowFunction="sum" dataDxfId="960" totalsRowDxfId="138">
      <calculatedColumnFormula>IF(ISBLANK(Fuhrpark[[#This Row],[Wert 
(Zahl)]]),"",IFERROR(Fuhrpark[[#This Row],[Scope 2 CO2 '[kg CO2']]]*IFERROR(VLOOKUP("CO2",GWP_100[],3,FALSE),0),0))</calculatedColumnFormula>
    </tableColumn>
    <tableColumn id="63" xr3:uid="{8B600A4B-7818-48E4-8257-D5E27E08B39C}" name="Scope 2 CH4 [kg CO2e]" totalsRowFunction="sum" dataDxfId="959" totalsRowDxfId="137">
      <calculatedColumnFormula>IF(ISBLANK(Fuhrpark[[#This Row],[Wert 
(Zahl)]]),"",IFERROR(Fuhrpark[[#This Row],[Scope 2 CH4 '[kg CH4']]]*IFERROR(VLOOKUP("CH4",GWP_100[],4,FALSE),0),0))</calculatedColumnFormula>
    </tableColumn>
    <tableColumn id="64" xr3:uid="{4F2E5A58-1545-4699-A046-9DBF58DED98E}" name="Scope 2 N2O [kg CO2e]" totalsRowFunction="sum" dataDxfId="958" totalsRowDxfId="136">
      <calculatedColumnFormula>IF(ISBLANK(Fuhrpark[[#This Row],[Wert 
(Zahl)]]),"",IFERROR(Fuhrpark[[#This Row],[Scope 2 N2O '[kg N2O']]]*IFERROR(VLOOKUP("N2O",GWP_100[],5,FALSE),0),0))</calculatedColumnFormula>
    </tableColumn>
    <tableColumn id="65" xr3:uid="{CFA4DC04-8569-4E6F-BCB4-06A998BADD79}" name="Scope 2 HFCs [kg CO2e]" totalsRowFunction="sum" dataDxfId="957" totalsRowDxfId="135">
      <calculatedColumnFormula>IF(ISBLANK(Fuhrpark[[#This Row],[Wert 
(Zahl)]]),"",IFERROR(Fuhrpark[[#This Row],[Scope 2 HFCs '[kg HFCs']]]*IFERROR(VLOOKUP(Fuhrpark[[#This Row],[Emissionsquelle/Aktivität (Dropdown)]],GWP_100[],6,FALSE),0),0))</calculatedColumnFormula>
    </tableColumn>
    <tableColumn id="66" xr3:uid="{26B8E4A9-E265-42D4-B51A-196AF9642E81}" name="Scope 2 PFCs [kg CO2e]" totalsRowFunction="sum" dataDxfId="956" totalsRowDxfId="134">
      <calculatedColumnFormula>IF(ISBLANK(Fuhrpark[[#This Row],[Wert 
(Zahl)]]),"",IFERROR(Fuhrpark[[#This Row],[Scope 2 PFCs '[kg PFCs']]]*IFERROR(VLOOKUP(Fuhrpark[[#This Row],[Emissionsquelle/Aktivität (Dropdown)]],GWP_100[],7,FALSE),0),0))</calculatedColumnFormula>
    </tableColumn>
    <tableColumn id="67" xr3:uid="{3387C4B6-AB08-4C74-953B-FDEAE32F8A07}" name="Scope 2 SF6 [kg CO2e]" totalsRowFunction="sum" dataDxfId="955" totalsRowDxfId="133">
      <calculatedColumnFormula>IF(ISBLANK(Fuhrpark[[#This Row],[Wert 
(Zahl)]]),"",IFERROR(Fuhrpark[[#This Row],[Scope 2 SF6 '[kg SF6']]]*IFERROR(VLOOKUP("SF6",GWP_100[],8,FALSE),0),0))</calculatedColumnFormula>
    </tableColumn>
    <tableColumn id="68" xr3:uid="{980DF062-D3C4-46A0-BD91-8666F455716A}" name="Scope 2 NF3 [kg CO2e]" totalsRowFunction="sum" dataDxfId="954" totalsRowDxfId="132">
      <calculatedColumnFormula>IF(ISBLANK(Fuhrpark[[#This Row],[Wert 
(Zahl)]]),"",IFERROR(Fuhrpark[[#This Row],[Scope 2 NF3 '[kg NF3']]]*IFERROR(VLOOKUP("NF3",GWP_100[],9,FALSE),0),0))</calculatedColumnFormula>
    </tableColumn>
    <tableColumn id="72" xr3:uid="{81598569-7314-49E9-AA20-F49D60D6A11F}" name="Scope 2 non-Kyoto [kg CO2e]" totalsRowFunction="sum" dataDxfId="953" totalsRowDxfId="131">
      <calculatedColumnFormula>IF(ISBLANK(Fuhrpark[[#This Row],[Wert 
(Zahl)]]),"",IFERROR(Fuhrpark[[#This Row],[Scope 2 non-Kyoto '[kg non-Kyoto gas']]]*IFERROR(VLOOKUP(Fuhrpark[[#This Row],[Emissionsquelle/Aktivität (Dropdown)]],GWP_100[],10,FALSE),0),0))</calculatedColumnFormula>
    </tableColumn>
  </tableColumns>
  <tableStyleInfo name="Tabelle KBK"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CC5843D7-DE85-4892-B8DB-09361A36BE64}" name="Geschäftsreisen" displayName="Geschäftsreisen" ref="C136:X157" totalsRowCount="1" headerRowDxfId="952" dataDxfId="951" totalsRowDxfId="950">
  <tableColumns count="22">
    <tableColumn id="20" xr3:uid="{7DB3C1C7-083D-4018-B629-729F133591DE}" name="Sektor_Thema" dataDxfId="949" totalsRowDxfId="128">
      <calculatedColumnFormula>$C$135</calculatedColumnFormula>
    </tableColumn>
    <tableColumn id="3" xr3:uid="{C9120783-EDFB-4EAD-A5CD-8AED753E9CFC}" name="Zuordnung Gliederungselement (Dropdown)" totalsRowLabel="Summe" dataDxfId="948" totalsRowDxfId="127"/>
    <tableColumn id="4" xr3:uid="{EE606F94-876B-47E4-A6DE-EFA90ABB6BE7}" name="Emissionsquelle/Aktivität (Dropdown)" dataDxfId="947" totalsRowDxfId="126"/>
    <tableColumn id="6" xr3:uid="{3EE4D062-136E-40F4-8735-54D090420632}" name="Wert _x000a_(Zahl)" dataDxfId="946" totalsRowDxfId="125"/>
    <tableColumn id="5" xr3:uid="{30A59B13-E5B4-4BB3-9291-A9290C237B94}" name="Einheit _x000a_(vorausgefüllt)" dataDxfId="945" totalsRowDxfId="124">
      <calculatedColumnFormula>IFERROR(VLOOKUP(Geschäftsreisen[[#This Row],[Thema_Bezeichung]],EFs_Geschäftsreisen[],4,FALSE),"")</calculatedColumnFormula>
    </tableColumn>
    <tableColumn id="7" xr3:uid="{1599042D-7C93-4CE6-A016-BBC466A0A215}" name="Datenqualität Wert (Dropdown)" dataDxfId="944" totalsRowDxfId="123"/>
    <tableColumn id="13" xr3:uid="{53AC74D6-1FC9-4851-A98B-F00B05EE5AFB}" name="PKW-Auslastung:_x000a_Personenzahl/ PKW_x000a_(optionale Angabe)" dataDxfId="943" totalsRowDxfId="122"/>
    <tableColumn id="8" xr3:uid="{1A926C10-7F2D-4351-9372-9A327DD4665A}" name="Notiz - Datenquelle _x000a_(Text)" dataDxfId="942" totalsRowDxfId="121"/>
    <tableColumn id="9" xr3:uid="{BD619C11-C5EB-44D9-95E3-5B216F6799D8}" name="Notiz - Kommentar _x000a_(Text)" dataDxfId="941" totalsRowDxfId="120"/>
    <tableColumn id="24" xr3:uid="{F549E1B0-8E52-4F04-9A61-BD773B58F9B8}" name="Ergebnis [kg CO2e] (vorausgefüllt)" totalsRowFunction="sum" dataDxfId="940" totalsRowDxfId="119">
      <calculatedColumnFormula>IF(ISBLANK(Geschäftsreisen[[#This Row],[Wert 
(Zahl)]]),"", SUM(Geschäftsreisen[[#This Row],[Scope 1 CO2e '[kg CO2e']]:[Scope 3 CO2e '[kg CO2e']]]))</calculatedColumnFormula>
    </tableColumn>
    <tableColumn id="27" xr3:uid="{6433CB1C-5465-4BBB-8BF2-8FA024C63663}" name="Nicht-CO2-Effekte [kg CO2e] (vorausgefüllt)" totalsRowFunction="sum" dataDxfId="130" totalsRowDxfId="118">
      <calculatedColumnFormula>IF(OR(ISBLANK(Geschäftsreisen[[#This Row],[Wert 
(Zahl)]]),Geschäftsreisen[[#This Row],[Scope 3 Ergebnis Nicht-CO2 '[kg CO2e']]]=0),"",Geschäftsreisen[[#This Row],[Scope 3 Ergebnis Nicht-CO2 '[kg CO2e']]])</calculatedColumnFormula>
    </tableColumn>
    <tableColumn id="1" xr3:uid="{AEB69E79-8813-4F4D-91F3-DE615FE6C340}" name="Spalte1" dataDxfId="939" totalsRowDxfId="117"/>
    <tableColumn id="25" xr3:uid="{F9CF0FBF-52C9-45C4-AEF7-9721F0E8B05F}" name="Thema_Bezeichung" dataDxfId="938" totalsRowDxfId="116">
      <calculatedColumnFormula>IF(ISBLANK(Geschäftsreisen[[#This Row],[Emissionsquelle/Aktivität (Dropdown)]]),"",CONCATENATE(Geschäftsreisen[[#This Row],[Sektor_Thema]]," - ",Geschäftsreisen[[#This Row],[Emissionsquelle/Aktivität (Dropdown)]]))</calculatedColumnFormula>
    </tableColumn>
    <tableColumn id="14" xr3:uid="{EEA1FDAC-AC41-49CE-BC5E-F2CB237898B5}" name="PKW - Auslastung angegeben?" dataDxfId="937" totalsRowDxfId="115">
      <calculatedColumnFormula>IF(ISBLANK(Geschäftsreisen[[#This Row],[Emissionsquelle/Aktivität (Dropdown)]]),"",AND(ISNUMBER(SEARCH("PKW",Geschäftsreisen[[#This Row],[Emissionsquelle/Aktivität (Dropdown)]])),ISNUMBER(Geschäftsreisen[[#This Row],[PKW-Auslastung:
Personenzahl/ PKW
(optionale Angabe)]])))</calculatedColumnFormula>
    </tableColumn>
    <tableColumn id="10" xr3:uid="{C0DDE663-51A5-4FF3-978C-2A23CFFBDDF2}" name="EF Scope 1 CO2e_x000a_(kg CO2e/Einheit)" dataDxfId="936" totalsRowDxfId="114">
      <calculatedColumnFormula>IFERROR(VLOOKUP(Geschäftsreisen[[#This Row],[Thema_Bezeichung]],EFs_Geschäftsreisen[],5,FALSE),"")</calculatedColumnFormula>
    </tableColumn>
    <tableColumn id="11" xr3:uid="{29C61239-FD82-4FB4-9CB6-869253C29992}" name="EF Scope 2 CO2e_x000a_(kg CO2e/Einheit)" dataDxfId="935" totalsRowDxfId="113">
      <calculatedColumnFormula>IFERROR(VLOOKUP(Geschäftsreisen[[#This Row],[Thema_Bezeichung]],EFs_Geschäftsreisen[],6,FALSE),"")</calculatedColumnFormula>
    </tableColumn>
    <tableColumn id="12" xr3:uid="{3FA2CBA5-C15D-4EA4-9DA1-AD2AD9BCF131}" name="EF Scope 3 CO2e_x000a_(kg CO2e/Einheit)" dataDxfId="934" totalsRowDxfId="112">
      <calculatedColumnFormula>IF(Geschäftsreisen[[#This Row],[PKW - Auslastung angegeben?]]=TRUE,IFERROR((VLOOKUP(Geschäftsreisen[[#This Row],[Thema_Bezeichung]],EFs_Geschäftsreisen[],7,FALSE)*VLOOKUP(Geschäftsreisen[[#This Row],[Thema_Bezeichung]],EFs_Geschäftsreisen[],9,FALSE)/Geschäftsreisen[[#This Row],[PKW-Auslastung:
Personenzahl/ PKW
(optionale Angabe)]]),""),IF(Geschäftsreisen[[#This Row],[PKW - Auslastung angegeben?]]=FALSE,IFERROR(VLOOKUP(Geschäftsreisen[[#This Row],[Thema_Bezeichung]],EFs_Geschäftsreisen[],7,FALSE),""),""))</calculatedColumnFormula>
    </tableColumn>
    <tableColumn id="28" xr3:uid="{63762842-7E30-45D7-B6E4-29DD97CEDE18}" name="Scope 3 EF Nicht-CO2-Effekte [kg CO2e/Einheit]" dataDxfId="933" totalsRowDxfId="111">
      <calculatedColumnFormula>IFERROR(VLOOKUP(Geschäftsreisen[[#This Row],[Thema_Bezeichung]],EFs_Geschäftsreisen[],8,FALSE),"")</calculatedColumnFormula>
    </tableColumn>
    <tableColumn id="16" xr3:uid="{1E3681B2-698C-44F4-8880-10216302456F}" name="Scope 1 CO2e [kg CO2e]" totalsRowFunction="sum" dataDxfId="932" totalsRowDxfId="110">
      <calculatedColumnFormula>IF(Geschäftsreisen[[#This Row],[PKW - Auslastung angegeben?]]=TRUE,IFERROR(Geschäftsreisen[[#This Row],[Wert 
(Zahl)]]*(Geschäftsreisen[[#This Row],[EF Scope 1 CO2e
(kg CO2e/Einheit)]]*Emissionsfaktoren!$E$324/Geschäftsreisen[[#This Row],[PKW-Auslastung:
Personenzahl/ PKW
(optionale Angabe)]]),""),IFERROR(Geschäftsreisen[[#This Row],[Wert 
(Zahl)]]*Geschäftsreisen[[#This Row],[EF Scope 1 CO2e
(kg CO2e/Einheit)]],""))</calculatedColumnFormula>
    </tableColumn>
    <tableColumn id="17" xr3:uid="{6E2D3728-79F4-45E0-B822-E697459056B1}" name="Scope 2 CO2e [kg CO2e]" totalsRowFunction="sum" dataDxfId="931" totalsRowDxfId="109">
      <calculatedColumnFormula>IF(Geschäftsreisen[[#This Row],[PKW - Auslastung angegeben?]]=TRUE,IFERROR(Geschäftsreisen[[#This Row],[Wert 
(Zahl)]]*(Geschäftsreisen[[#This Row],[EF Scope 2 CO2e
(kg CO2e/Einheit)]]*Emissionsfaktoren!$E$324/Geschäftsreisen[[#This Row],[PKW-Auslastung:
Personenzahl/ PKW
(optionale Angabe)]]),""),IFERROR(Geschäftsreisen[[#This Row],[Wert 
(Zahl)]]*Geschäftsreisen[[#This Row],[EF Scope 2 CO2e
(kg CO2e/Einheit)]],""))</calculatedColumnFormula>
    </tableColumn>
    <tableColumn id="18" xr3:uid="{A840089D-64F6-4D25-8F91-4DCB95F12CB1}" name="Scope 3 CO2e [kg CO2e]" totalsRowFunction="sum" dataDxfId="930" totalsRowDxfId="108">
      <calculatedColumnFormula>IFERROR(Geschäftsreisen[[#This Row],[Wert 
(Zahl)]]*Geschäftsreisen[[#This Row],[EF Scope 3 CO2e
(kg CO2e/Einheit)]],"")</calculatedColumnFormula>
    </tableColumn>
    <tableColumn id="30" xr3:uid="{E57359DD-304D-44E8-B8A6-85B75FB1D6CF}" name="Scope 3 Ergebnis Nicht-CO2 [kg CO2e]" totalsRowFunction="sum" dataDxfId="929" totalsRowDxfId="107">
      <calculatedColumnFormula>IFERROR(Geschäftsreisen[[#This Row],[Wert 
(Zahl)]]*Geschäftsreisen[[#This Row],[Scope 3 EF Nicht-CO2-Effekte '[kg CO2e/Einheit']]],"")</calculatedColumnFormula>
    </tableColumn>
  </tableColumns>
  <tableStyleInfo name="Tabelle KBK"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3BA2A50C-624A-498A-B5F1-8A2426314712}" name="Pendeln_Mitarbeitende" displayName="Pendeln_Mitarbeitende" ref="C163:X184" totalsRowCount="1" headerRowDxfId="928" dataDxfId="927" totalsRowDxfId="926">
  <tableColumns count="22">
    <tableColumn id="20" xr3:uid="{3D320291-27C3-4CB9-AC3C-0C6A5F6CE3BE}" name="Sektor_Thema" dataDxfId="925" totalsRowDxfId="924">
      <calculatedColumnFormula>$C$162</calculatedColumnFormula>
    </tableColumn>
    <tableColumn id="3" xr3:uid="{A7B35655-B5EB-4039-8A10-6094949110EB}" name="Zuordnung Gliederungselement (Dropdown)" totalsRowLabel="Summe" dataDxfId="923" totalsRowDxfId="922"/>
    <tableColumn id="4" xr3:uid="{D1332408-5A22-4E1C-A683-3CC85BD121C5}" name="Emissionsquelle/Aktivität (Dropdown)" dataDxfId="921" totalsRowDxfId="920"/>
    <tableColumn id="6" xr3:uid="{58F09DC0-0C3F-4B73-987B-3EC6A83E15EA}" name="Wert _x000a_(Zahl)" dataDxfId="919" totalsRowDxfId="918"/>
    <tableColumn id="5" xr3:uid="{2414D2B7-2421-4A8B-B313-56D64212DC7B}" name="Einheit _x000a_(vorausgefüllt)" dataDxfId="917" totalsRowDxfId="916">
      <calculatedColumnFormula>IFERROR(VLOOKUP(Pendeln_Mitarbeitende[[#This Row],[Thema_Bezeichung]],EFs_Pendeln[],4,FALSE),"")</calculatedColumnFormula>
    </tableColumn>
    <tableColumn id="7" xr3:uid="{39C2BB8A-4C30-423C-94A3-5E398D307723}" name="Datenqualität Wert (Dropdown)" dataDxfId="915" totalsRowDxfId="914"/>
    <tableColumn id="22" xr3:uid="{D2D37795-AFAF-443F-AF76-A63EDDE1CEFB}" name="PKW-Auslastung:_x000a_Personenzahl/ PKW_x000a_(optionale Angabe)" dataDxfId="913" totalsRowDxfId="912"/>
    <tableColumn id="8" xr3:uid="{ED944D2C-22C4-4248-87A5-AE7D055E9A8F}" name="Notiz - Datenquelle _x000a_(Text)" dataDxfId="911" totalsRowDxfId="910"/>
    <tableColumn id="9" xr3:uid="{518CE2F3-FF7C-4E2C-8D9C-719113D76C4C}" name="Notiz - Kommentar _x000a_(Text)" dataDxfId="909" totalsRowDxfId="908"/>
    <tableColumn id="26" xr3:uid="{EA014E7C-F0A2-493A-9BEF-B6DB9F5C5001}" name="Ergebnis [kg CO2e] (vorausgefüllt)" totalsRowFunction="sum" dataDxfId="907" totalsRowDxfId="906">
      <calculatedColumnFormula>IF(ISBLANK(Pendeln_Mitarbeitende[[#This Row],[Wert 
(Zahl)]]),"", SUM(Pendeln_Mitarbeitende[[#This Row],[Scope 1 CO2e '[kg CO2e']]:[Scope 3 CO2e '[kg CO2e']]]))</calculatedColumnFormula>
    </tableColumn>
    <tableColumn id="21" xr3:uid="{09C5EDBC-DA0C-42E8-A9FA-5E1C1DE400D1}" name="Spalte2" dataDxfId="905" totalsRowDxfId="904"/>
    <tableColumn id="1" xr3:uid="{7A946C0A-36EA-4F60-A07C-3526ED585B26}" name="Spalte1" dataDxfId="903" totalsRowDxfId="902"/>
    <tableColumn id="27" xr3:uid="{377A1B65-44A8-4AF2-808C-5D8B06AC1BAC}" name="Thema_Bezeichung" dataDxfId="901" totalsRowDxfId="900">
      <calculatedColumnFormula>IF(ISBLANK(Pendeln_Mitarbeitende[[#This Row],[Emissionsquelle/Aktivität (Dropdown)]]),"",CONCATENATE(Pendeln_Mitarbeitende[[#This Row],[Sektor_Thema]]," - ",Pendeln_Mitarbeitende[[#This Row],[Emissionsquelle/Aktivität (Dropdown)]]))</calculatedColumnFormula>
    </tableColumn>
    <tableColumn id="13" xr3:uid="{524719BE-C28D-4863-B6B9-AE2FAF21B855}" name="PKW - Auslastung angegeben?" dataDxfId="899" totalsRowDxfId="898">
      <calculatedColumnFormula>IF(ISBLANK(Pendeln_Mitarbeitende[[#This Row],[Emissionsquelle/Aktivität (Dropdown)]]),"",AND(ISNUMBER(SEARCH("PKW",Pendeln_Mitarbeitende[[#This Row],[Emissionsquelle/Aktivität (Dropdown)]])),ISNUMBER(Pendeln_Mitarbeitende[[#This Row],[PKW-Auslastung:
Personenzahl/ PKW
(optionale Angabe)]])))</calculatedColumnFormula>
    </tableColumn>
    <tableColumn id="10" xr3:uid="{6EB1F9CE-CBC4-40CC-94EE-F9E751205223}" name="EF Scope 1 CO2e_x000a_(kg CO2e/Einheit)" dataDxfId="897" totalsRowDxfId="896">
      <calculatedColumnFormula>IFERROR(VLOOKUP(Pendeln_Mitarbeitende[[#This Row],[Thema_Bezeichung]],EFs_Pendeln[],5,FALSE),"")</calculatedColumnFormula>
    </tableColumn>
    <tableColumn id="11" xr3:uid="{AD8AF0BE-6CB6-4B08-B459-09F371C9CD58}" name="EF Scope 2 CO2e_x000a_(kg CO2e/Einheit)" dataDxfId="895" totalsRowDxfId="894">
      <calculatedColumnFormula>IFERROR(VLOOKUP(Pendeln_Mitarbeitende[[#This Row],[Thema_Bezeichung]],EFs_Pendeln[],6,FALSE),"")</calculatedColumnFormula>
    </tableColumn>
    <tableColumn id="12" xr3:uid="{D0C7B8D4-C532-4E63-A02D-EC26EC1EF7DE}" name="EF Scope 3 CO2e_x000a_(kg CO2e/Einheit)" dataDxfId="893" totalsRowDxfId="892">
      <calculatedColumnFormula>IF(Pendeln_Mitarbeitende[[#This Row],[PKW - Auslastung angegeben?]]=TRUE,IFERROR((VLOOKUP(Pendeln_Mitarbeitende[[#This Row],[Thema_Bezeichung]],EFs_Pendeln[],7,FALSE)*VLOOKUP(Pendeln_Mitarbeitende[[#This Row],[Thema_Bezeichung]],EFs_Pendeln[],9,FALSE)/Pendeln_Mitarbeitende[[#This Row],[PKW-Auslastung:
Personenzahl/ PKW
(optionale Angabe)]]),""),IF(Pendeln_Mitarbeitende[[#This Row],[PKW - Auslastung angegeben?]]=FALSE,IFERROR(VLOOKUP(Pendeln_Mitarbeitende[[#This Row],[Thema_Bezeichung]],EFs_Pendeln[],7,FALSE),""),""))</calculatedColumnFormula>
    </tableColumn>
    <tableColumn id="15" xr3:uid="{B49BD779-8F32-478C-A408-BD27D460F0C3}" name="Scope 3 EF Nicht-CO2-Effekte [kg CO2e/Einheit]" dataDxfId="891" totalsRowDxfId="890">
      <calculatedColumnFormula>IFERROR(VLOOKUP(Pendeln_Mitarbeitende[[#This Row],[Thema_Bezeichung]],EFs_Pendeln[],8,FALSE),"")</calculatedColumnFormula>
    </tableColumn>
    <tableColumn id="16" xr3:uid="{C5C17166-AFCE-4EF6-A892-931471B38FF8}" name="Scope 1 CO2e [kg CO2e]" totalsRowFunction="sum" dataDxfId="889" totalsRowDxfId="888">
      <calculatedColumnFormula>IFERROR(Pendeln_Mitarbeitende[[#This Row],[Wert 
(Zahl)]]*Pendeln_Mitarbeitende[[#This Row],[EF Scope 1 CO2e
(kg CO2e/Einheit)]],"")</calculatedColumnFormula>
    </tableColumn>
    <tableColumn id="17" xr3:uid="{AED7F886-D5AA-4FC2-A510-48B157D605FE}" name="Scope 2 CO2e [kg CO2e]" totalsRowFunction="sum" dataDxfId="887" totalsRowDxfId="886">
      <calculatedColumnFormula>IFERROR(Pendeln_Mitarbeitende[[#This Row],[Wert 
(Zahl)]]*Pendeln_Mitarbeitende[[#This Row],[EF Scope 2 CO2e
(kg CO2e/Einheit)]],"")</calculatedColumnFormula>
    </tableColumn>
    <tableColumn id="18" xr3:uid="{C8A49AF5-42BA-4257-A8FA-8AC184B95C20}" name="Scope 3 CO2e [kg CO2e]" totalsRowFunction="sum" dataDxfId="885" totalsRowDxfId="884">
      <calculatedColumnFormula>IFERROR(Pendeln_Mitarbeitende[[#This Row],[Wert 
(Zahl)]]*Pendeln_Mitarbeitende[[#This Row],[EF Scope 3 CO2e
(kg CO2e/Einheit)]],"")</calculatedColumnFormula>
    </tableColumn>
    <tableColumn id="19" xr3:uid="{BDCD85FE-3D3B-46D8-AF2A-B936571BF057}" name="Scope 3 Ergebnis Nicht-CO2 [kg CO2e]" totalsRowFunction="sum" dataDxfId="883" totalsRowDxfId="882">
      <calculatedColumnFormula>IFERROR(Pendeln_Mitarbeitende[[#This Row],[Wert 
(Zahl)]]*Pendeln_Mitarbeitende[[#This Row],[Scope 3 EF Nicht-CO2-Effekte '[kg CO2e/Einheit']]],"")</calculatedColumnFormula>
    </tableColumn>
  </tableColumns>
  <tableStyleInfo name="Tabelle KBK"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717F763-36B9-44B7-BBF8-E572ADAEDCFA}" name="Externe" displayName="Externe" ref="C190:X211" totalsRowCount="1" headerRowDxfId="881" dataDxfId="880" totalsRowDxfId="879">
  <tableColumns count="22">
    <tableColumn id="20" xr3:uid="{AAB6A94D-9772-40FE-87BF-CC0A4500BB69}" name="Sektor_Thema" dataDxfId="106" totalsRowDxfId="105">
      <calculatedColumnFormula>$C$189</calculatedColumnFormula>
    </tableColumn>
    <tableColumn id="3" xr3:uid="{2EB4B1AA-A646-4AB5-8B71-538AFE3D0AF1}" name="Zuordnung Gliederungselement (Dropdown)" totalsRowLabel="Summe" dataDxfId="104" totalsRowDxfId="103"/>
    <tableColumn id="4" xr3:uid="{09ED521C-98AA-4230-8BDE-4BF3020A5EE5}" name="Emissionsquelle/Aktivität (Dropdown)" dataDxfId="102" totalsRowDxfId="101"/>
    <tableColumn id="6" xr3:uid="{C19EA3C4-BC34-4D29-A9B3-3946A4304979}" name="Wert _x000a_(Zahl)" dataDxfId="100" totalsRowDxfId="99"/>
    <tableColumn id="5" xr3:uid="{408AA8D4-5DC3-4D9B-A316-40679E6EFEC8}" name="Einheit _x000a_(vorausgefüllt)" dataDxfId="98" totalsRowDxfId="97">
      <calculatedColumnFormula>IFERROR(VLOOKUP(Externe[[#This Row],[Thema_Bezeichung]],EFs_Externe[],4,FALSE),"")</calculatedColumnFormula>
    </tableColumn>
    <tableColumn id="7" xr3:uid="{B7C40E25-6E20-40EB-9C39-4EA8E808A409}" name="Datenqualität Wert (Dropdown)" dataDxfId="96" totalsRowDxfId="95"/>
    <tableColumn id="22" xr3:uid="{CA78E6CD-B729-4528-85DB-5454E5686838}" name="PKW-Auslastung:_x000a_Personenzahl/ PKW_x000a_(optionale Angabe)" dataDxfId="94" totalsRowDxfId="93"/>
    <tableColumn id="8" xr3:uid="{5E994F46-3AB8-4BD7-BCE8-936D601D3121}" name="Notiz - Datenquelle _x000a_(Text)" dataDxfId="92" totalsRowDxfId="91"/>
    <tableColumn id="9" xr3:uid="{49BBCEEE-F386-4279-8C85-CBD7CEA389BF}" name="Notiz - Kommentar _x000a_(Text)" dataDxfId="90" totalsRowDxfId="89"/>
    <tableColumn id="24" xr3:uid="{5F5189E3-4198-498E-908B-D09DE7525A82}" name="Ergebnis [kg CO2e] (vorausgefüllt)" totalsRowFunction="sum" dataDxfId="88" totalsRowDxfId="87">
      <calculatedColumnFormula>IF(ISBLANK(Externe[[#This Row],[Wert 
(Zahl)]]),"", SUM(Externe[[#This Row],[Scope 1 CO2e '[kg CO2e']]:[Scope 3 CO2e '[kg CO2e']]]))</calculatedColumnFormula>
    </tableColumn>
    <tableColumn id="2" xr3:uid="{F92CA90B-D617-417D-B829-06E395A0BC69}" name="Nicht-CO2-Effekte [kg CO2e] (vorausgefüllt)" totalsRowFunction="sum" dataDxfId="86" totalsRowDxfId="85">
      <calculatedColumnFormula>IF(OR(ISBLANK(Externe[[#This Row],[Wert 
(Zahl)]]),Externe[[#This Row],[Scope 3 Ergebnis Nicht-CO2 '[kg CO2e']]]=0),"",Externe[[#This Row],[Scope 3 Ergebnis Nicht-CO2 '[kg CO2e']]])</calculatedColumnFormula>
    </tableColumn>
    <tableColumn id="1" xr3:uid="{1870F358-03EC-4E00-B961-524FA6577366}" name="Spalte1" dataDxfId="84" totalsRowDxfId="83"/>
    <tableColumn id="25" xr3:uid="{436F6AFA-4A15-4692-A7F9-D7B68B9F8F56}" name="Thema_Bezeichung" dataDxfId="82" totalsRowDxfId="81">
      <calculatedColumnFormula>IF(ISBLANK(Externe[[#This Row],[Emissionsquelle/Aktivität (Dropdown)]]),"",CONCATENATE(Externe[[#This Row],[Sektor_Thema]]," - ",Externe[[#This Row],[Emissionsquelle/Aktivität (Dropdown)]]))</calculatedColumnFormula>
    </tableColumn>
    <tableColumn id="14" xr3:uid="{B6061027-B56B-477C-A74A-9538885AC9EA}" name="PKW - Auslastung angegeben?" dataDxfId="80" totalsRowDxfId="79">
      <calculatedColumnFormula>IF(ISBLANK(Externe[[#This Row],[Emissionsquelle/Aktivität (Dropdown)]]),"",AND(ISNUMBER(SEARCH("PKW",Externe[[#This Row],[Emissionsquelle/Aktivität (Dropdown)]])),ISNUMBER(Externe[[#This Row],[PKW-Auslastung:
Personenzahl/ PKW
(optionale Angabe)]])))</calculatedColumnFormula>
    </tableColumn>
    <tableColumn id="10" xr3:uid="{5A3CDEAA-C69C-4662-8938-7D15D6A2B54F}" name="EF Scope 1 CO2e_x000a_(kg CO2e/Einheit)" dataDxfId="78" totalsRowDxfId="77">
      <calculatedColumnFormula>IFERROR(VLOOKUP(Externe[[#This Row],[Thema_Bezeichung]],EFs_Externe[],5,FALSE),"")</calculatedColumnFormula>
    </tableColumn>
    <tableColumn id="11" xr3:uid="{437A3748-FEE6-49EB-9B19-B1341177ED85}" name="EF Scope 2 CO2e_x000a_(kg CO2e/Einheit)" dataDxfId="76" totalsRowDxfId="75">
      <calculatedColumnFormula>IFERROR(VLOOKUP(Externe[[#This Row],[Thema_Bezeichung]],EFs_Externe[],6,FALSE),"")</calculatedColumnFormula>
    </tableColumn>
    <tableColumn id="12" xr3:uid="{CFF366C4-3582-48BC-9F43-C2625DA07F19}" name="EF Scope 3 CO2e_x000a_(kg CO2e/Einheit)" dataDxfId="74" totalsRowDxfId="73">
      <calculatedColumnFormula>IF(Externe[[#This Row],[PKW - Auslastung angegeben?]]=TRUE,IFERROR((VLOOKUP(Externe[[#This Row],[Thema_Bezeichung]],EFs_Externe[],7,FALSE)*VLOOKUP(Externe[[#This Row],[Thema_Bezeichung]],EFs_Externe[],9,FALSE)/Externe[[#This Row],[PKW-Auslastung:
Personenzahl/ PKW
(optionale Angabe)]]),""),IF(Externe[[#This Row],[PKW - Auslastung angegeben?]]=FALSE,IFERROR(VLOOKUP(Externe[[#This Row],[Thema_Bezeichung]],EFs_Externe[],7,FALSE),""),""))</calculatedColumnFormula>
    </tableColumn>
    <tableColumn id="19" xr3:uid="{67C527DC-77F1-4294-8377-C4EFB607A9A5}" name="Scope 3 EF Nicht-CO2-Effekte [kg CO2e/Einheit]" dataDxfId="72" totalsRowDxfId="71">
      <calculatedColumnFormula>IFERROR(VLOOKUP(Externe[[#This Row],[Thema_Bezeichung]],EFs_Externe[],8,FALSE),"")</calculatedColumnFormula>
    </tableColumn>
    <tableColumn id="16" xr3:uid="{0D0F222B-0439-4CD4-965F-D2EA694E8794}" name="Scope 1 CO2e [kg CO2e]" totalsRowFunction="sum" dataDxfId="70" totalsRowDxfId="69">
      <calculatedColumnFormula>IFERROR(Externe[[#This Row],[Wert 
(Zahl)]]*Externe[[#This Row],[EF Scope 1 CO2e
(kg CO2e/Einheit)]],"")</calculatedColumnFormula>
    </tableColumn>
    <tableColumn id="17" xr3:uid="{27963A2C-F049-4F62-8603-D4C9EF5217B8}" name="Scope 2 CO2e [kg CO2e]" totalsRowFunction="sum" dataDxfId="68" totalsRowDxfId="67">
      <calculatedColumnFormula>IFERROR(Externe[[#This Row],[Wert 
(Zahl)]]*Externe[[#This Row],[EF Scope 2 CO2e
(kg CO2e/Einheit)]],"")</calculatedColumnFormula>
    </tableColumn>
    <tableColumn id="18" xr3:uid="{355AA0E4-22FA-41FE-963F-C283744A9574}" name="Scope 3 CO2e [kg CO2e]" totalsRowFunction="sum" dataDxfId="66" totalsRowDxfId="65">
      <calculatedColumnFormula>IFERROR(Externe[[#This Row],[Wert 
(Zahl)]]*Externe[[#This Row],[EF Scope 3 CO2e
(kg CO2e/Einheit)]],"")</calculatedColumnFormula>
    </tableColumn>
    <tableColumn id="21" xr3:uid="{1D959B51-CB29-46BB-9980-6F4F5EC5D684}" name="Scope 3 Ergebnis Nicht-CO2 [kg CO2e]" totalsRowFunction="sum" dataDxfId="64" totalsRowDxfId="63">
      <calculatedColumnFormula>IFERROR(Externe[[#This Row],[Wert 
(Zahl)]]*Externe[[#This Row],[Scope 3 EF Nicht-CO2-Effekte '[kg CO2e/Einheit']]],"")</calculatedColumnFormula>
    </tableColumn>
  </tableColumns>
  <tableStyleInfo name="Tabelle KBK"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1B38DF8C-4F26-43C2-BF5A-16E66190CF13}" name="Warentransporte" displayName="Warentransporte" ref="C217:X238" totalsRowCount="1" headerRowDxfId="878" dataDxfId="877" totalsRowDxfId="876">
  <tableColumns count="22">
    <tableColumn id="20" xr3:uid="{BC7A00D5-ECEF-4A8B-B55A-123180AA7266}" name="Sektor_Thema" dataDxfId="875" totalsRowDxfId="45">
      <calculatedColumnFormula>$C$216</calculatedColumnFormula>
    </tableColumn>
    <tableColumn id="3" xr3:uid="{048463BC-9A23-4782-901A-A1ED2199BE33}" name="Zuordnung Gliederungselement (Dropdown)" totalsRowLabel="Summe" dataDxfId="874" totalsRowDxfId="44"/>
    <tableColumn id="4" xr3:uid="{E2147825-CB75-4B36-AF2C-1079E6AC39E3}" name="Emissionsquelle/Aktivität (Dropdown)" dataDxfId="873" totalsRowDxfId="43"/>
    <tableColumn id="6" xr3:uid="{10962DF3-D912-4C67-988F-0C272C6A3E13}" name="Wert _x000a_(Zahl)" dataDxfId="872" totalsRowDxfId="42"/>
    <tableColumn id="5" xr3:uid="{9613B2BA-60E8-4873-AF63-C9BB5D3D7642}" name="Einheit _x000a_(vorausgefüllt)" dataDxfId="871" totalsRowDxfId="41">
      <calculatedColumnFormula>IFERROR(VLOOKUP(Warentransporte[[#This Row],[Thema_Bezeichung]],EFs_Warentransporte[],4,FALSE),"")</calculatedColumnFormula>
    </tableColumn>
    <tableColumn id="7" xr3:uid="{1FEDA884-A1FE-4166-B0E1-1479A4B897EC}" name="Datenqualität Wert (Dropdown)" dataDxfId="870" totalsRowDxfId="40"/>
    <tableColumn id="8" xr3:uid="{C5B7226B-7292-4EA4-B584-F3A0C3F6580D}" name="Notiz - Datenquelle _x000a_(Text)" dataDxfId="869" totalsRowDxfId="39"/>
    <tableColumn id="9" xr3:uid="{45581B70-F02E-42E2-82CF-614BDF275F4C}" name="Notiz - Kommentar _x000a_(Text)" dataDxfId="868" totalsRowDxfId="38"/>
    <tableColumn id="24" xr3:uid="{B90280B5-3FA5-4A4F-8870-E53A863665BA}" name="Ergebnis [kg CO2e] (vorausgefüllt)" totalsRowFunction="sum" dataDxfId="867" totalsRowDxfId="37">
      <calculatedColumnFormula>IF(ISBLANK(Warentransporte[[#This Row],[Wert 
(Zahl)]]),"", SUM(Warentransporte[[#This Row],[Scope 1 CO2e '[kg CO2e']]:[Scope 3 CO2e '[kg CO2e']]]))</calculatedColumnFormula>
    </tableColumn>
    <tableColumn id="2" xr3:uid="{DD9123E8-4F20-4F3E-8232-8CFE64925553}" name="Nicht-CO2-Effekte [kg CO2e] (vorausgefüllt)" totalsRowFunction="sum" dataDxfId="129" totalsRowDxfId="36">
      <calculatedColumnFormula>IF(OR(ISBLANK(Warentransporte[[#This Row],[Wert 
(Zahl)]]),Warentransporte[[#This Row],[Scope 3 Ergebnis Nicht-CO2 '[kg CO2e']]]=0),"",Warentransporte[[#This Row],[Scope 3 Ergebnis Nicht-CO2 '[kg CO2e']]])</calculatedColumnFormula>
    </tableColumn>
    <tableColumn id="1" xr3:uid="{93DF053C-F0BB-42E9-89DF-3FB28B0C63E9}" name="Spalte1" dataDxfId="866" totalsRowDxfId="35"/>
    <tableColumn id="13" xr3:uid="{68A21F52-ACB7-4996-8F68-C973970EF87F}" name="Spalte2" dataDxfId="865" totalsRowDxfId="34"/>
    <tableColumn id="25" xr3:uid="{A97F6623-2D0E-45BE-8816-AB78C509586B}" name="Thema_Bezeichung" dataDxfId="864" totalsRowDxfId="33">
      <calculatedColumnFormula>IF(ISBLANK(Warentransporte[[#This Row],[Emissionsquelle/Aktivität (Dropdown)]]),"",CONCATENATE(Warentransporte[[#This Row],[Sektor_Thema]]," - ",Warentransporte[[#This Row],[Emissionsquelle/Aktivität (Dropdown)]]))</calculatedColumnFormula>
    </tableColumn>
    <tableColumn id="14" xr3:uid="{E1E1046E-7A85-4F4A-A546-88AFD7553688}" name="…" dataDxfId="863" totalsRowDxfId="32"/>
    <tableColumn id="10" xr3:uid="{9D32C263-B9F4-4769-93A1-974934EDF0E9}" name="EF Scope 1 CO2e_x000a_(kg CO2e/Einheit)" dataDxfId="862" totalsRowDxfId="31">
      <calculatedColumnFormula>IFERROR(VLOOKUP(Warentransporte[[#This Row],[Thema_Bezeichung]],EFs_Warentransporte[],5,FALSE),"")</calculatedColumnFormula>
    </tableColumn>
    <tableColumn id="11" xr3:uid="{C61FE63E-4332-4B17-8A0C-35BE76ABC196}" name="EF Scope 2 CO2e_x000a_(kg CO2e/Einheit)" dataDxfId="861" totalsRowDxfId="30">
      <calculatedColumnFormula>IFERROR(VLOOKUP(Warentransporte[[#This Row],[Thema_Bezeichung]],EFs_Warentransporte[],6,FALSE),"")</calculatedColumnFormula>
    </tableColumn>
    <tableColumn id="12" xr3:uid="{8F3E5163-E011-4AF2-9E48-F0043B7CB94B}" name="EF Scope 3 CO2e_x000a_(kg CO2e/Einheit)" dataDxfId="860" totalsRowDxfId="29">
      <calculatedColumnFormula>IFERROR(VLOOKUP(Warentransporte[[#This Row],[Thema_Bezeichung]],EFs_Warentransporte[],7,FALSE),"")</calculatedColumnFormula>
    </tableColumn>
    <tableColumn id="15" xr3:uid="{54A04E3C-7BE6-4705-8430-2189555BB60A}" name="Scope 3 EF Nicht-CO2-Effekte [kg CO2e/Einheit]" dataDxfId="859" totalsRowDxfId="28">
      <calculatedColumnFormula>IFERROR(VLOOKUP(Warentransporte[[#This Row],[Thema_Bezeichung]],EFs_Warentransporte[],8,FALSE),"")</calculatedColumnFormula>
    </tableColumn>
    <tableColumn id="16" xr3:uid="{1E42D48A-945F-462F-B1D9-3BA0465D47F0}" name="Scope 1 CO2e [kg CO2e]" totalsRowFunction="sum" dataDxfId="858" totalsRowDxfId="27">
      <calculatedColumnFormula>IFERROR(Warentransporte[[#This Row],[Wert 
(Zahl)]]*Warentransporte[[#This Row],[EF Scope 1 CO2e
(kg CO2e/Einheit)]],"")</calculatedColumnFormula>
    </tableColumn>
    <tableColumn id="17" xr3:uid="{BBE80AFA-EB4B-4E4C-A7CC-284FF5057426}" name="Scope 2 CO2e [kg CO2e]" totalsRowFunction="sum" dataDxfId="857" totalsRowDxfId="26">
      <calculatedColumnFormula>IFERROR(Warentransporte[[#This Row],[Wert 
(Zahl)]]*Warentransporte[[#This Row],[EF Scope 2 CO2e
(kg CO2e/Einheit)]],"")</calculatedColumnFormula>
    </tableColumn>
    <tableColumn id="18" xr3:uid="{DFE0FAC5-885D-46EF-9CD0-F30CAA2BAB76}" name="Scope 3 CO2e [kg CO2e]" totalsRowFunction="sum" dataDxfId="856" totalsRowDxfId="25">
      <calculatedColumnFormula>IFERROR(Warentransporte[[#This Row],[Wert 
(Zahl)]]*Warentransporte[[#This Row],[EF Scope 3 CO2e
(kg CO2e/Einheit)]],"")</calculatedColumnFormula>
    </tableColumn>
    <tableColumn id="19" xr3:uid="{9EF4FE99-78B6-4A6B-B18B-9EC52456B7AF}" name="Scope 3 Ergebnis Nicht-CO2 [kg CO2e]" totalsRowFunction="sum" dataDxfId="855" totalsRowDxfId="24">
      <calculatedColumnFormula>IFERROR(Warentransporte[[#This Row],[Wert 
(Zahl)]]*Warentransporte[[#This Row],[Scope 3 EF Nicht-CO2-Effekte '[kg CO2e/Einheit']]],"")</calculatedColumnFormula>
    </tableColumn>
  </tableColumns>
  <tableStyleInfo name="Tabelle KBK"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wk.baden-wuerttemberg.de/de/kunst-kultur/kulturpolitik/green-culture/downloads" TargetMode="External"/><Relationship Id="rId1" Type="http://schemas.openxmlformats.org/officeDocument/2006/relationships/hyperlink" Target="https://www.kmk.org/themen/kultur/oekologische-nachhaltigkeit.html" TargetMode="External"/><Relationship Id="rId4"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table" Target="../tables/table32.xml"/><Relationship Id="rId1" Type="http://schemas.openxmlformats.org/officeDocument/2006/relationships/table" Target="../tables/table31.xml"/><Relationship Id="rId4" Type="http://schemas.openxmlformats.org/officeDocument/2006/relationships/table" Target="../tables/table3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table" Target="../tables/table3.xml"/><Relationship Id="rId18" Type="http://schemas.openxmlformats.org/officeDocument/2006/relationships/table" Target="../tables/table8.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table" Target="../tables/table2.xml"/><Relationship Id="rId17" Type="http://schemas.openxmlformats.org/officeDocument/2006/relationships/table" Target="../tables/table7.xml"/><Relationship Id="rId2" Type="http://schemas.openxmlformats.org/officeDocument/2006/relationships/drawing" Target="../drawings/drawing2.xml"/><Relationship Id="rId16" Type="http://schemas.openxmlformats.org/officeDocument/2006/relationships/table" Target="../tables/table6.xml"/><Relationship Id="rId20" Type="http://schemas.openxmlformats.org/officeDocument/2006/relationships/comments" Target="../comments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table" Target="../tables/table5.xml"/><Relationship Id="rId10" Type="http://schemas.openxmlformats.org/officeDocument/2006/relationships/ctrlProp" Target="../ctrlProps/ctrlProp7.xml"/><Relationship Id="rId19" Type="http://schemas.openxmlformats.org/officeDocument/2006/relationships/table" Target="../tables/table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11" Type="http://schemas.openxmlformats.org/officeDocument/2006/relationships/table" Target="../tables/table13.xml"/><Relationship Id="rId5" Type="http://schemas.openxmlformats.org/officeDocument/2006/relationships/ctrlProp" Target="../ctrlProps/ctrlProp10.xml"/><Relationship Id="rId10" Type="http://schemas.openxmlformats.org/officeDocument/2006/relationships/table" Target="../tables/table12.xml"/><Relationship Id="rId4" Type="http://schemas.openxmlformats.org/officeDocument/2006/relationships/ctrlProp" Target="../ctrlProps/ctrlProp9.xml"/><Relationship Id="rId9" Type="http://schemas.openxmlformats.org/officeDocument/2006/relationships/table" Target="../tables/table11.xml"/></Relationships>
</file>

<file path=xl/worksheets/_rels/sheet6.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11" Type="http://schemas.openxmlformats.org/officeDocument/2006/relationships/table" Target="../tables/table17.xml"/><Relationship Id="rId5" Type="http://schemas.openxmlformats.org/officeDocument/2006/relationships/ctrlProp" Target="../ctrlProps/ctrlProp14.xml"/><Relationship Id="rId10" Type="http://schemas.openxmlformats.org/officeDocument/2006/relationships/table" Target="../tables/table16.xml"/><Relationship Id="rId4" Type="http://schemas.openxmlformats.org/officeDocument/2006/relationships/ctrlProp" Target="../ctrlProps/ctrlProp13.xml"/><Relationship Id="rId9" Type="http://schemas.openxmlformats.org/officeDocument/2006/relationships/table" Target="../tables/table1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kdiscpress.de/druckvorlagen/vergleich_ecodisc-dvd_vs_dvd-5.pdf" TargetMode="External"/><Relationship Id="rId13" Type="http://schemas.openxmlformats.org/officeDocument/2006/relationships/hyperlink" Target="https://www.ipcc.ch/report/sixth-assessment-report-working-group-i/" TargetMode="External"/><Relationship Id="rId18" Type="http://schemas.openxmlformats.org/officeDocument/2006/relationships/printerSettings" Target="../printerSettings/printerSettings9.bin"/><Relationship Id="rId26" Type="http://schemas.openxmlformats.org/officeDocument/2006/relationships/table" Target="../tables/table25.xml"/><Relationship Id="rId3" Type="http://schemas.openxmlformats.org/officeDocument/2006/relationships/hyperlink" Target="https://doi.org/10.1016/j.cec.2022.100011" TargetMode="External"/><Relationship Id="rId21" Type="http://schemas.openxmlformats.org/officeDocument/2006/relationships/table" Target="../tables/table20.xml"/><Relationship Id="rId7" Type="http://schemas.openxmlformats.org/officeDocument/2006/relationships/hyperlink" Target="https://www.mobilitaet-in-deutschland.de/" TargetMode="External"/><Relationship Id="rId12" Type="http://schemas.openxmlformats.org/officeDocument/2006/relationships/hyperlink" Target="https://ozone.unep.org/sites/default/files/2019-04/RTOC-assessment-report-2018_0.pdf" TargetMode="External"/><Relationship Id="rId17" Type="http://schemas.openxmlformats.org/officeDocument/2006/relationships/hyperlink" Target="https://www.umweltbundesamt.de/themen/wirtschaft-konsum/wirtschaft-umwelt/umwelt-energiemanagement/emissionsfaktoren-zur-treibhausgasbilanzierung-von" TargetMode="External"/><Relationship Id="rId25" Type="http://schemas.openxmlformats.org/officeDocument/2006/relationships/table" Target="../tables/table24.xml"/><Relationship Id="rId2" Type="http://schemas.openxmlformats.org/officeDocument/2006/relationships/hyperlink" Target="https://www.statistik-bw.de/fileadmin/user_upload/Daten_melden/33_A_Umrechnungsfaktoren.pdf" TargetMode="External"/><Relationship Id="rId16" Type="http://schemas.openxmlformats.org/officeDocument/2006/relationships/hyperlink" Target="https://www.bafa.de/SharedDocs/Downloads/DE/Energie/ea_ermittlung_gesamtenergieverbrauch.html" TargetMode="Externa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hyperlink" Target="https://nva.sikt.no/registration/0198e6f19b01-ce2fe63e-91eb-4e7e-acac-7ca385f5db61" TargetMode="External"/><Relationship Id="rId6" Type="http://schemas.openxmlformats.org/officeDocument/2006/relationships/hyperlink" Target="https://ec.europa.eu/eurostat/databrowser/product/page/nrg_d_hhq" TargetMode="External"/><Relationship Id="rId11" Type="http://schemas.openxmlformats.org/officeDocument/2006/relationships/hyperlink" Target="https://ecommons.cornell.edu/items/85eddae3-2b5b-41fb-88ad-75a0b53f8424" TargetMode="External"/><Relationship Id="rId24" Type="http://schemas.openxmlformats.org/officeDocument/2006/relationships/table" Target="../tables/table23.xml"/><Relationship Id="rId5" Type="http://schemas.openxmlformats.org/officeDocument/2006/relationships/hyperlink" Target="https://energy.ec.europa.eu/topics/energy-efficiency/energy-performance-buildings/eu-building-stock-observatory_en" TargetMode="External"/><Relationship Id="rId15" Type="http://schemas.openxmlformats.org/officeDocument/2006/relationships/hyperlink" Target="https://www.umweltbundesamt.de/publikationen/emissionsbilanz-erneuerbarer-energietraeger-2023" TargetMode="External"/><Relationship Id="rId23" Type="http://schemas.openxmlformats.org/officeDocument/2006/relationships/table" Target="../tables/table22.xml"/><Relationship Id="rId28" Type="http://schemas.openxmlformats.org/officeDocument/2006/relationships/table" Target="../tables/table27.xml"/><Relationship Id="rId10" Type="http://schemas.openxmlformats.org/officeDocument/2006/relationships/hyperlink" Target="https://www.dslv.org/fileadmin/Redaktion/PDFs/07_Publikationen/Leitfaeden/DSLV-Leitfaden_Berechnung_von_THG-Emissionen_Stand_03-2013.pdf" TargetMode="Externa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hyperlink" Target="https://www.oekobaudat.de/" TargetMode="External"/><Relationship Id="rId9" Type="http://schemas.openxmlformats.org/officeDocument/2006/relationships/hyperlink" Target="https://base-empreinte.ademe.fr/" TargetMode="External"/><Relationship Id="rId14" Type="http://schemas.openxmlformats.org/officeDocument/2006/relationships/hyperlink" Target="https://www.gov.uk/government/publications/greenhouse-gas-reporting-conversion-factors-2025" TargetMode="Externa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51F06-2643-4055-8D4E-182B88F6D3F3}">
  <sheetPr codeName="Tabelle1">
    <tabColor theme="9"/>
  </sheetPr>
  <dimension ref="B4:J79"/>
  <sheetViews>
    <sheetView showGridLines="0" tabSelected="1" zoomScaleNormal="100" workbookViewId="0"/>
  </sheetViews>
  <sheetFormatPr baseColWidth="10" defaultRowHeight="14.5" x14ac:dyDescent="0.35"/>
  <cols>
    <col min="1" max="1" width="4.54296875" customWidth="1"/>
    <col min="2" max="2" width="3.81640625" customWidth="1"/>
    <col min="3" max="4" width="20.1796875" customWidth="1"/>
    <col min="5" max="5" width="22.453125" customWidth="1"/>
    <col min="6" max="7" width="24.453125" customWidth="1"/>
    <col min="8" max="8" width="8.81640625" customWidth="1"/>
    <col min="9" max="9" width="6.81640625" customWidth="1"/>
  </cols>
  <sheetData>
    <row r="4" spans="2:8" ht="18.5" x14ac:dyDescent="0.45">
      <c r="B4" s="573" t="s">
        <v>304</v>
      </c>
      <c r="C4" s="574"/>
      <c r="D4" s="574"/>
      <c r="E4" s="574"/>
      <c r="F4" s="574"/>
      <c r="G4" s="574"/>
      <c r="H4" s="574"/>
    </row>
    <row r="5" spans="2:8" ht="20.5" x14ac:dyDescent="0.55000000000000004">
      <c r="B5" s="597" t="s">
        <v>638</v>
      </c>
      <c r="C5" s="597"/>
      <c r="D5" s="597"/>
      <c r="E5" s="597"/>
      <c r="F5" s="597"/>
      <c r="G5" s="597"/>
      <c r="H5" s="597"/>
    </row>
    <row r="7" spans="2:8" ht="21.75" customHeight="1" x14ac:dyDescent="0.35">
      <c r="B7" s="591" t="s">
        <v>107</v>
      </c>
      <c r="C7" s="592"/>
      <c r="D7" s="592"/>
      <c r="E7" s="592"/>
      <c r="F7" s="592"/>
      <c r="G7" s="592"/>
      <c r="H7" s="593"/>
    </row>
    <row r="8" spans="2:8" ht="98.5" customHeight="1" x14ac:dyDescent="0.35">
      <c r="B8" s="594" t="s">
        <v>610</v>
      </c>
      <c r="C8" s="595"/>
      <c r="D8" s="595"/>
      <c r="E8" s="595"/>
      <c r="F8" s="595"/>
      <c r="G8" s="595"/>
      <c r="H8" s="596"/>
    </row>
    <row r="9" spans="2:8" ht="22.5" customHeight="1" x14ac:dyDescent="0.35"/>
    <row r="10" spans="2:8" ht="21.75" customHeight="1" x14ac:dyDescent="0.35">
      <c r="B10" s="591" t="s">
        <v>244</v>
      </c>
      <c r="C10" s="592"/>
      <c r="D10" s="592"/>
      <c r="E10" s="592"/>
      <c r="F10" s="592"/>
      <c r="G10" s="592"/>
      <c r="H10" s="593"/>
    </row>
    <row r="11" spans="2:8" ht="68.25" customHeight="1" x14ac:dyDescent="0.35">
      <c r="B11" s="589" t="s">
        <v>344</v>
      </c>
      <c r="C11" s="567"/>
      <c r="D11" s="567"/>
      <c r="E11" s="567"/>
      <c r="F11" s="567"/>
      <c r="G11" s="567"/>
      <c r="H11" s="590"/>
    </row>
    <row r="12" spans="2:8" ht="18" customHeight="1" x14ac:dyDescent="0.35">
      <c r="B12" s="586" t="s">
        <v>297</v>
      </c>
      <c r="C12" s="587"/>
      <c r="D12" s="587"/>
      <c r="E12" s="587"/>
      <c r="F12" s="587"/>
      <c r="G12" s="587"/>
      <c r="H12" s="588"/>
    </row>
    <row r="13" spans="2:8" ht="51.75" customHeight="1" x14ac:dyDescent="0.35">
      <c r="B13" s="581" t="s">
        <v>345</v>
      </c>
      <c r="C13" s="547"/>
      <c r="D13" s="547"/>
      <c r="E13" s="547"/>
      <c r="F13" s="547"/>
      <c r="G13" s="547"/>
      <c r="H13" s="582"/>
    </row>
    <row r="14" spans="2:8" ht="18" customHeight="1" x14ac:dyDescent="0.35">
      <c r="B14" s="583" t="s">
        <v>300</v>
      </c>
      <c r="C14" s="584"/>
      <c r="D14" s="584"/>
      <c r="E14" s="584"/>
      <c r="F14" s="584"/>
      <c r="G14" s="584"/>
      <c r="H14" s="585"/>
    </row>
    <row r="15" spans="2:8" ht="51.5" customHeight="1" x14ac:dyDescent="0.35">
      <c r="B15" s="581" t="s">
        <v>307</v>
      </c>
      <c r="C15" s="547"/>
      <c r="D15" s="547"/>
      <c r="E15" s="547"/>
      <c r="F15" s="547"/>
      <c r="G15" s="547"/>
      <c r="H15" s="582"/>
    </row>
    <row r="16" spans="2:8" ht="18" customHeight="1" x14ac:dyDescent="0.35">
      <c r="B16" s="578" t="s">
        <v>302</v>
      </c>
      <c r="C16" s="579"/>
      <c r="D16" s="579"/>
      <c r="E16" s="579"/>
      <c r="F16" s="579"/>
      <c r="G16" s="579"/>
      <c r="H16" s="580"/>
    </row>
    <row r="17" spans="2:10" ht="84" customHeight="1" x14ac:dyDescent="0.35">
      <c r="B17" s="575" t="s">
        <v>308</v>
      </c>
      <c r="C17" s="576"/>
      <c r="D17" s="576"/>
      <c r="E17" s="576"/>
      <c r="F17" s="576"/>
      <c r="G17" s="576"/>
      <c r="H17" s="577"/>
    </row>
    <row r="18" spans="2:10" ht="22.5" customHeight="1" x14ac:dyDescent="0.35">
      <c r="B18" s="10"/>
    </row>
    <row r="19" spans="2:10" ht="21.75" customHeight="1" x14ac:dyDescent="0.35">
      <c r="B19" s="542" t="s">
        <v>182</v>
      </c>
      <c r="C19" s="543"/>
      <c r="D19" s="543"/>
      <c r="E19" s="543"/>
      <c r="F19" s="543"/>
      <c r="G19" s="543"/>
      <c r="H19" s="544"/>
    </row>
    <row r="20" spans="2:10" ht="4.5" customHeight="1" x14ac:dyDescent="0.35">
      <c r="B20" s="56"/>
      <c r="C20" s="195"/>
      <c r="D20" s="195"/>
      <c r="E20" s="195"/>
      <c r="F20" s="195"/>
      <c r="G20" s="195"/>
      <c r="H20" s="67"/>
      <c r="J20" s="15"/>
    </row>
    <row r="21" spans="2:10" s="15" customFormat="1" ht="18.75" customHeight="1" x14ac:dyDescent="0.35">
      <c r="B21" s="57" t="s">
        <v>260</v>
      </c>
      <c r="C21" s="193"/>
      <c r="D21" s="193"/>
      <c r="E21" s="193"/>
      <c r="F21" s="193"/>
      <c r="G21" s="193"/>
      <c r="H21" s="68"/>
    </row>
    <row r="22" spans="2:10" s="15" customFormat="1" ht="24" customHeight="1" x14ac:dyDescent="0.35">
      <c r="B22" s="63" t="s">
        <v>305</v>
      </c>
      <c r="C22" s="193"/>
      <c r="D22" s="193"/>
      <c r="E22" s="193"/>
      <c r="F22" s="193"/>
      <c r="G22" s="193"/>
      <c r="H22" s="68"/>
    </row>
    <row r="23" spans="2:10" s="54" customFormat="1" ht="18" customHeight="1" x14ac:dyDescent="0.35">
      <c r="B23" s="60"/>
      <c r="C23" s="58"/>
      <c r="D23" s="199" t="s">
        <v>290</v>
      </c>
      <c r="H23" s="69"/>
    </row>
    <row r="24" spans="2:10" s="54" customFormat="1" ht="3" customHeight="1" x14ac:dyDescent="0.35">
      <c r="B24" s="60"/>
      <c r="D24" s="199"/>
      <c r="H24" s="69"/>
    </row>
    <row r="25" spans="2:10" s="54" customFormat="1" ht="18" customHeight="1" x14ac:dyDescent="0.35">
      <c r="B25" s="60"/>
      <c r="C25" s="178"/>
      <c r="D25" s="199" t="s">
        <v>295</v>
      </c>
      <c r="H25" s="69"/>
    </row>
    <row r="26" spans="2:10" s="54" customFormat="1" ht="3" customHeight="1" x14ac:dyDescent="0.35">
      <c r="B26" s="60"/>
      <c r="D26" s="199"/>
      <c r="H26" s="69"/>
    </row>
    <row r="27" spans="2:10" s="54" customFormat="1" ht="18" customHeight="1" x14ac:dyDescent="0.35">
      <c r="B27" s="60"/>
      <c r="C27" s="179"/>
      <c r="D27" s="199" t="s">
        <v>298</v>
      </c>
      <c r="H27" s="69"/>
    </row>
    <row r="28" spans="2:10" s="54" customFormat="1" ht="3" customHeight="1" x14ac:dyDescent="0.35">
      <c r="B28" s="60"/>
      <c r="D28" s="199"/>
      <c r="H28" s="69"/>
    </row>
    <row r="29" spans="2:10" s="54" customFormat="1" ht="18" customHeight="1" x14ac:dyDescent="0.35">
      <c r="B29" s="60"/>
      <c r="C29" s="180"/>
      <c r="D29" s="199" t="s">
        <v>301</v>
      </c>
      <c r="H29" s="69"/>
    </row>
    <row r="30" spans="2:10" s="54" customFormat="1" ht="3" customHeight="1" x14ac:dyDescent="0.35">
      <c r="B30" s="60"/>
      <c r="D30" s="199"/>
      <c r="H30" s="69"/>
    </row>
    <row r="31" spans="2:10" s="54" customFormat="1" ht="18" customHeight="1" x14ac:dyDescent="0.35">
      <c r="B31" s="60"/>
      <c r="C31" s="181"/>
      <c r="D31" s="199" t="s">
        <v>183</v>
      </c>
      <c r="H31" s="69"/>
    </row>
    <row r="32" spans="2:10" s="54" customFormat="1" ht="3" customHeight="1" x14ac:dyDescent="0.35">
      <c r="B32" s="60"/>
      <c r="D32" s="199"/>
      <c r="H32" s="69"/>
    </row>
    <row r="33" spans="2:8" s="54" customFormat="1" ht="18" customHeight="1" x14ac:dyDescent="0.35">
      <c r="B33" s="60"/>
      <c r="C33" s="59"/>
      <c r="D33" s="199" t="s">
        <v>258</v>
      </c>
      <c r="H33" s="69"/>
    </row>
    <row r="34" spans="2:8" s="54" customFormat="1" ht="3" customHeight="1" x14ac:dyDescent="0.35">
      <c r="B34" s="60"/>
      <c r="C34" s="64"/>
      <c r="D34" s="199"/>
      <c r="H34" s="69"/>
    </row>
    <row r="35" spans="2:8" s="54" customFormat="1" ht="18" customHeight="1" x14ac:dyDescent="0.35">
      <c r="B35" s="60"/>
      <c r="C35" s="351"/>
      <c r="D35" s="199" t="s">
        <v>410</v>
      </c>
      <c r="H35" s="69"/>
    </row>
    <row r="36" spans="2:8" s="54" customFormat="1" ht="3" customHeight="1" x14ac:dyDescent="0.35">
      <c r="B36" s="60"/>
      <c r="C36" s="64"/>
      <c r="D36" s="199"/>
      <c r="H36" s="69"/>
    </row>
    <row r="37" spans="2:8" s="54" customFormat="1" ht="18" customHeight="1" x14ac:dyDescent="0.35">
      <c r="B37" s="60"/>
      <c r="C37" s="182"/>
      <c r="D37" s="199" t="s">
        <v>259</v>
      </c>
      <c r="H37" s="69"/>
    </row>
    <row r="38" spans="2:8" ht="15" customHeight="1" x14ac:dyDescent="0.35">
      <c r="B38" s="61"/>
      <c r="H38" s="50"/>
    </row>
    <row r="39" spans="2:8" ht="24" customHeight="1" x14ac:dyDescent="0.35">
      <c r="B39" s="564" t="s">
        <v>262</v>
      </c>
      <c r="C39" s="565"/>
      <c r="D39" s="565"/>
      <c r="E39" s="565"/>
      <c r="F39" s="565"/>
      <c r="G39" s="565"/>
      <c r="H39" s="566"/>
    </row>
    <row r="40" spans="2:8" ht="45.75" customHeight="1" x14ac:dyDescent="0.35">
      <c r="B40" s="70"/>
      <c r="C40" s="194" t="s">
        <v>296</v>
      </c>
      <c r="D40" s="199" t="s">
        <v>261</v>
      </c>
      <c r="E40" s="200"/>
      <c r="F40" s="200"/>
      <c r="G40" s="200"/>
      <c r="H40" s="201"/>
    </row>
    <row r="41" spans="2:8" ht="12" customHeight="1" x14ac:dyDescent="0.35">
      <c r="B41" s="61"/>
      <c r="D41" s="200"/>
      <c r="E41" s="200"/>
      <c r="F41" s="200"/>
      <c r="G41" s="200"/>
      <c r="H41" s="201"/>
    </row>
    <row r="42" spans="2:8" ht="15" customHeight="1" x14ac:dyDescent="0.35">
      <c r="B42" s="62"/>
      <c r="C42" s="65"/>
      <c r="D42" s="200" t="s">
        <v>263</v>
      </c>
      <c r="E42" s="200"/>
      <c r="F42" s="200"/>
      <c r="G42" s="200"/>
      <c r="H42" s="201"/>
    </row>
    <row r="43" spans="2:8" ht="12" customHeight="1" x14ac:dyDescent="0.35">
      <c r="B43" s="62"/>
      <c r="C43" s="161"/>
      <c r="D43" s="200"/>
      <c r="E43" s="200"/>
      <c r="F43" s="200"/>
      <c r="G43" s="200"/>
      <c r="H43" s="201"/>
    </row>
    <row r="44" spans="2:8" s="9" customFormat="1" ht="29.25" customHeight="1" x14ac:dyDescent="0.35">
      <c r="B44" s="198"/>
      <c r="C44" s="253" t="s">
        <v>306</v>
      </c>
      <c r="D44" s="570" t="s">
        <v>309</v>
      </c>
      <c r="E44" s="570"/>
      <c r="F44" s="570"/>
      <c r="G44" s="570"/>
      <c r="H44" s="571"/>
    </row>
    <row r="45" spans="2:8" s="9" customFormat="1" ht="15" customHeight="1" x14ac:dyDescent="0.35">
      <c r="B45" s="198"/>
      <c r="C45" s="282"/>
      <c r="D45" s="280"/>
      <c r="E45" s="280"/>
      <c r="F45" s="280"/>
      <c r="G45" s="280"/>
      <c r="H45" s="281"/>
    </row>
    <row r="46" spans="2:8" s="9" customFormat="1" ht="24" customHeight="1" x14ac:dyDescent="0.35">
      <c r="B46" s="283" t="s">
        <v>346</v>
      </c>
      <c r="C46" s="282"/>
      <c r="D46" s="280"/>
      <c r="E46" s="280"/>
      <c r="F46" s="280"/>
      <c r="G46" s="280"/>
      <c r="H46" s="281"/>
    </row>
    <row r="47" spans="2:8" ht="36" customHeight="1" x14ac:dyDescent="0.35">
      <c r="B47" s="78"/>
      <c r="C47" s="545" t="s">
        <v>347</v>
      </c>
      <c r="D47" s="545"/>
      <c r="E47" s="545"/>
      <c r="F47" s="545"/>
      <c r="G47" s="545"/>
      <c r="H47" s="546"/>
    </row>
    <row r="48" spans="2:8" ht="22.5" customHeight="1" x14ac:dyDescent="0.35">
      <c r="B48" s="66"/>
      <c r="C48" s="66"/>
      <c r="D48" s="66"/>
      <c r="E48" s="66"/>
      <c r="F48" s="66"/>
      <c r="G48" s="66"/>
      <c r="H48" s="66"/>
    </row>
    <row r="49" spans="2:8" ht="21.75" customHeight="1" x14ac:dyDescent="0.35">
      <c r="B49" s="352" t="s">
        <v>264</v>
      </c>
      <c r="C49" s="353"/>
      <c r="D49" s="353"/>
      <c r="E49" s="353"/>
      <c r="F49" s="353" t="s">
        <v>275</v>
      </c>
      <c r="G49" s="353"/>
      <c r="H49" s="354"/>
    </row>
    <row r="50" spans="2:8" s="55" customFormat="1" ht="23.25" customHeight="1" x14ac:dyDescent="0.35">
      <c r="B50" s="271" t="s">
        <v>265</v>
      </c>
      <c r="C50" s="554" t="s">
        <v>271</v>
      </c>
      <c r="D50" s="554"/>
      <c r="E50" s="554"/>
      <c r="F50" s="548" t="s">
        <v>127</v>
      </c>
      <c r="G50" s="548"/>
      <c r="H50" s="272"/>
    </row>
    <row r="51" spans="2:8" s="55" customFormat="1" ht="23.25" customHeight="1" x14ac:dyDescent="0.35">
      <c r="B51" s="76" t="s">
        <v>266</v>
      </c>
      <c r="C51" s="567" t="s">
        <v>333</v>
      </c>
      <c r="D51" s="567"/>
      <c r="E51" s="567"/>
      <c r="F51" s="569" t="s">
        <v>186</v>
      </c>
      <c r="G51" s="569"/>
      <c r="H51" s="196"/>
    </row>
    <row r="52" spans="2:8" s="55" customFormat="1" ht="23.25" customHeight="1" x14ac:dyDescent="0.35">
      <c r="B52" s="76" t="s">
        <v>267</v>
      </c>
      <c r="C52" s="567" t="s">
        <v>299</v>
      </c>
      <c r="D52" s="567"/>
      <c r="E52" s="567"/>
      <c r="F52" s="569" t="s">
        <v>298</v>
      </c>
      <c r="G52" s="569"/>
      <c r="H52" s="196"/>
    </row>
    <row r="53" spans="2:8" s="55" customFormat="1" ht="36" customHeight="1" x14ac:dyDescent="0.35">
      <c r="B53" s="76" t="s">
        <v>268</v>
      </c>
      <c r="C53" s="567" t="s">
        <v>303</v>
      </c>
      <c r="D53" s="567"/>
      <c r="E53" s="567"/>
      <c r="F53" s="569" t="s">
        <v>301</v>
      </c>
      <c r="G53" s="569"/>
      <c r="H53" s="196"/>
    </row>
    <row r="54" spans="2:8" s="55" customFormat="1" ht="23" customHeight="1" x14ac:dyDescent="0.35">
      <c r="B54" s="76" t="s">
        <v>269</v>
      </c>
      <c r="C54" s="567" t="s">
        <v>334</v>
      </c>
      <c r="D54" s="567"/>
      <c r="E54" s="567"/>
      <c r="F54" s="569" t="s">
        <v>183</v>
      </c>
      <c r="G54" s="569"/>
      <c r="H54" s="196"/>
    </row>
    <row r="55" spans="2:8" s="55" customFormat="1" ht="62" customHeight="1" x14ac:dyDescent="0.35">
      <c r="B55" s="76" t="s">
        <v>270</v>
      </c>
      <c r="C55" s="568" t="s">
        <v>611</v>
      </c>
      <c r="D55" s="568"/>
      <c r="E55" s="568"/>
      <c r="F55" s="569" t="s">
        <v>258</v>
      </c>
      <c r="G55" s="569"/>
      <c r="H55" s="196"/>
    </row>
    <row r="56" spans="2:8" s="55" customFormat="1" ht="36" customHeight="1" x14ac:dyDescent="0.35">
      <c r="B56" s="77" t="s">
        <v>411</v>
      </c>
      <c r="C56" s="545" t="s">
        <v>412</v>
      </c>
      <c r="D56" s="545"/>
      <c r="E56" s="545"/>
      <c r="F56" s="572" t="s">
        <v>410</v>
      </c>
      <c r="G56" s="572"/>
      <c r="H56" s="197"/>
    </row>
    <row r="57" spans="2:8" ht="22.5" customHeight="1" x14ac:dyDescent="0.35"/>
    <row r="58" spans="2:8" ht="22.5" customHeight="1" x14ac:dyDescent="0.35">
      <c r="B58" s="550" t="s">
        <v>599</v>
      </c>
      <c r="C58" s="551"/>
      <c r="D58" s="551"/>
      <c r="E58" s="551"/>
      <c r="F58" s="551"/>
      <c r="G58" s="551"/>
      <c r="H58" s="552"/>
    </row>
    <row r="59" spans="2:8" ht="48" customHeight="1" x14ac:dyDescent="0.35">
      <c r="B59" s="553" t="s">
        <v>602</v>
      </c>
      <c r="C59" s="554"/>
      <c r="D59" s="554"/>
      <c r="E59" s="554"/>
      <c r="F59" s="554"/>
      <c r="G59" s="554"/>
      <c r="H59" s="555"/>
    </row>
    <row r="60" spans="2:8" s="15" customFormat="1" ht="22.5" customHeight="1" x14ac:dyDescent="0.35">
      <c r="B60" s="556" t="s">
        <v>601</v>
      </c>
      <c r="C60" s="557"/>
      <c r="D60" s="557"/>
      <c r="E60" s="557"/>
      <c r="F60" s="557"/>
      <c r="G60" s="557"/>
      <c r="H60" s="558"/>
    </row>
    <row r="61" spans="2:8" s="15" customFormat="1" ht="22.5" customHeight="1" x14ac:dyDescent="0.35">
      <c r="B61" s="559" t="s">
        <v>600</v>
      </c>
      <c r="C61" s="560"/>
      <c r="D61" s="560"/>
      <c r="E61" s="560"/>
      <c r="F61" s="560"/>
      <c r="G61" s="560"/>
      <c r="H61" s="561"/>
    </row>
    <row r="62" spans="2:8" ht="22.5" customHeight="1" x14ac:dyDescent="0.35"/>
    <row r="63" spans="2:8" ht="21.75" customHeight="1" x14ac:dyDescent="0.35">
      <c r="B63" s="542" t="s">
        <v>108</v>
      </c>
      <c r="C63" s="543"/>
      <c r="D63" s="543"/>
      <c r="E63" s="543"/>
      <c r="F63" s="543"/>
      <c r="G63" s="543"/>
      <c r="H63" s="544"/>
    </row>
    <row r="64" spans="2:8" ht="21.75" customHeight="1" x14ac:dyDescent="0.35">
      <c r="B64" s="72"/>
      <c r="C64" s="188" t="s">
        <v>272</v>
      </c>
      <c r="D64" s="188" t="s">
        <v>273</v>
      </c>
      <c r="E64" s="188" t="s">
        <v>274</v>
      </c>
      <c r="F64" s="189"/>
      <c r="G64" s="189"/>
      <c r="H64" s="73"/>
    </row>
    <row r="65" spans="2:8" ht="22.5" customHeight="1" x14ac:dyDescent="0.35">
      <c r="B65" s="63"/>
      <c r="C65" s="190" t="s">
        <v>803</v>
      </c>
      <c r="D65" s="191">
        <v>45148</v>
      </c>
      <c r="E65" s="565" t="s">
        <v>125</v>
      </c>
      <c r="F65" s="565"/>
      <c r="G65" s="565"/>
      <c r="H65" s="566"/>
    </row>
    <row r="66" spans="2:8" ht="22.5" customHeight="1" x14ac:dyDescent="0.35">
      <c r="B66" s="63"/>
      <c r="C66" s="190" t="s">
        <v>804</v>
      </c>
      <c r="D66" s="191">
        <v>45320</v>
      </c>
      <c r="E66" s="15" t="s">
        <v>558</v>
      </c>
      <c r="F66" s="192"/>
      <c r="G66" s="192"/>
      <c r="H66" s="93"/>
    </row>
    <row r="67" spans="2:8" s="1" customFormat="1" ht="32.5" customHeight="1" x14ac:dyDescent="0.35">
      <c r="B67" s="312"/>
      <c r="C67" s="313" t="s">
        <v>802</v>
      </c>
      <c r="D67" s="314">
        <v>45474</v>
      </c>
      <c r="E67" s="547" t="s">
        <v>391</v>
      </c>
      <c r="F67" s="547"/>
      <c r="G67" s="547"/>
      <c r="H67" s="311"/>
    </row>
    <row r="68" spans="2:8" ht="60" customHeight="1" x14ac:dyDescent="0.35">
      <c r="B68" s="63"/>
      <c r="C68" s="190" t="s">
        <v>805</v>
      </c>
      <c r="D68" s="191">
        <v>45679</v>
      </c>
      <c r="E68" s="547" t="s">
        <v>559</v>
      </c>
      <c r="F68" s="547"/>
      <c r="G68" s="547"/>
      <c r="H68" s="93"/>
    </row>
    <row r="69" spans="2:8" ht="20.5" customHeight="1" x14ac:dyDescent="0.35">
      <c r="B69" s="63"/>
      <c r="C69" s="190" t="s">
        <v>806</v>
      </c>
      <c r="D69" s="191">
        <v>45692</v>
      </c>
      <c r="E69" s="562" t="s">
        <v>795</v>
      </c>
      <c r="F69" s="562"/>
      <c r="G69" s="562"/>
      <c r="H69" s="93"/>
    </row>
    <row r="70" spans="2:8" ht="20.5" customHeight="1" x14ac:dyDescent="0.35">
      <c r="B70" s="63"/>
      <c r="C70" s="190" t="s">
        <v>807</v>
      </c>
      <c r="D70" s="191">
        <v>45874</v>
      </c>
      <c r="E70" s="547" t="s">
        <v>560</v>
      </c>
      <c r="F70" s="547"/>
      <c r="G70" s="547"/>
      <c r="H70" s="93"/>
    </row>
    <row r="71" spans="2:8" ht="35" customHeight="1" x14ac:dyDescent="0.35">
      <c r="B71" s="63"/>
      <c r="C71" s="190" t="s">
        <v>808</v>
      </c>
      <c r="D71" s="191">
        <v>45918</v>
      </c>
      <c r="E71" s="547" t="s">
        <v>423</v>
      </c>
      <c r="F71" s="547"/>
      <c r="G71" s="547"/>
      <c r="H71" s="470"/>
    </row>
    <row r="72" spans="2:8" ht="94.5" customHeight="1" x14ac:dyDescent="0.35">
      <c r="B72" s="63"/>
      <c r="C72" s="524" t="s">
        <v>809</v>
      </c>
      <c r="D72" s="525">
        <v>45995</v>
      </c>
      <c r="E72" s="549" t="s">
        <v>612</v>
      </c>
      <c r="F72" s="549"/>
      <c r="G72" s="549"/>
      <c r="H72" s="471"/>
    </row>
    <row r="73" spans="2:8" ht="17" customHeight="1" x14ac:dyDescent="0.35">
      <c r="B73" s="63"/>
      <c r="C73" s="524" t="s">
        <v>810</v>
      </c>
      <c r="D73" s="525">
        <v>46056</v>
      </c>
      <c r="E73" s="563" t="s">
        <v>639</v>
      </c>
      <c r="F73" s="563"/>
      <c r="G73" s="563"/>
      <c r="H73" s="471"/>
    </row>
    <row r="74" spans="2:8" ht="8" customHeight="1" x14ac:dyDescent="0.35">
      <c r="B74" s="71"/>
      <c r="C74" s="74"/>
      <c r="D74" s="75"/>
      <c r="E74" s="91"/>
      <c r="F74" s="91"/>
      <c r="G74" s="91"/>
      <c r="H74" s="92"/>
    </row>
    <row r="75" spans="2:8" ht="22.5" customHeight="1" x14ac:dyDescent="0.35"/>
    <row r="76" spans="2:8" s="15" customFormat="1" ht="63" customHeight="1" x14ac:dyDescent="0.35">
      <c r="B76" s="539" t="s">
        <v>613</v>
      </c>
      <c r="C76" s="540"/>
      <c r="D76" s="540"/>
      <c r="E76" s="540"/>
      <c r="F76" s="540"/>
      <c r="G76" s="540"/>
      <c r="H76" s="541"/>
    </row>
    <row r="78" spans="2:8" x14ac:dyDescent="0.35">
      <c r="B78" s="12"/>
    </row>
    <row r="79" spans="2:8" x14ac:dyDescent="0.35">
      <c r="B79" s="477"/>
    </row>
  </sheetData>
  <sheetProtection algorithmName="SHA-512" hashValue="WkdAxXQGrg6b9xFKWL3ZWMeU5kCP91J6u069XL26J0W0sekt/u7jDcoadvlRFDM2/m2MQ5mBFUq/kSSFG/scgQ==" saltValue="18VqD8zyby6uVsXBbefgxQ==" spinCount="100000" sheet="1" objects="1" scenarios="1"/>
  <mergeCells count="44">
    <mergeCell ref="B4:H4"/>
    <mergeCell ref="B19:H19"/>
    <mergeCell ref="B17:H17"/>
    <mergeCell ref="B16:H16"/>
    <mergeCell ref="B15:H15"/>
    <mergeCell ref="B14:H14"/>
    <mergeCell ref="B13:H13"/>
    <mergeCell ref="B12:H12"/>
    <mergeCell ref="B11:H11"/>
    <mergeCell ref="B10:H10"/>
    <mergeCell ref="B8:H8"/>
    <mergeCell ref="B7:H7"/>
    <mergeCell ref="B5:H5"/>
    <mergeCell ref="B39:H39"/>
    <mergeCell ref="C51:E51"/>
    <mergeCell ref="C50:E50"/>
    <mergeCell ref="E65:H65"/>
    <mergeCell ref="C55:E55"/>
    <mergeCell ref="C54:E54"/>
    <mergeCell ref="C53:E53"/>
    <mergeCell ref="C52:E52"/>
    <mergeCell ref="F52:G52"/>
    <mergeCell ref="F53:G53"/>
    <mergeCell ref="F54:G54"/>
    <mergeCell ref="F51:G51"/>
    <mergeCell ref="F55:G55"/>
    <mergeCell ref="D44:H44"/>
    <mergeCell ref="C56:E56"/>
    <mergeCell ref="F56:G56"/>
    <mergeCell ref="B76:H76"/>
    <mergeCell ref="B63:H63"/>
    <mergeCell ref="C47:H47"/>
    <mergeCell ref="E67:G67"/>
    <mergeCell ref="E70:G70"/>
    <mergeCell ref="F50:G50"/>
    <mergeCell ref="E68:G68"/>
    <mergeCell ref="E71:G71"/>
    <mergeCell ref="E72:G72"/>
    <mergeCell ref="B58:H58"/>
    <mergeCell ref="B59:H59"/>
    <mergeCell ref="B60:H60"/>
    <mergeCell ref="B61:H61"/>
    <mergeCell ref="E69:G69"/>
    <mergeCell ref="E73:G73"/>
  </mergeCells>
  <phoneticPr fontId="2" type="noConversion"/>
  <hyperlinks>
    <hyperlink ref="F50" location="Stammdaten!A1" display="Stammdaten" xr:uid="{3D15E537-97DA-40FA-993E-3296C942AB0F}"/>
    <hyperlink ref="F51" location="'Gliederung der Bilanz'!A1" display="Gliederung der Bilanz" xr:uid="{958298E8-82E7-4C5C-8005-452B0D36F875}"/>
    <hyperlink ref="F52" location="'Datenerfassung Kernbilanz'!A1" display="Datenerfassung Kernbilanz" xr:uid="{D1897671-07CB-472B-B1EB-F437D67C6C0F}"/>
    <hyperlink ref="F53" location="'Datenerfassung Erweit. Bilanz'!A1" display="Datenerfassung Erweit. Bilanz" xr:uid="{19B6AB30-8BC4-467D-86D8-1F62E635D1F0}"/>
    <hyperlink ref="F54" location="'Datenerfassung Beyond Carbon'!A1" display="Datenerfassung Beyond Carbon" xr:uid="{8C24DC0D-95B7-48E5-A013-27A3545893D9}"/>
    <hyperlink ref="F55" location="Ergebnisse!A1" display="Ergebnisse" xr:uid="{C0CF77A3-E3B2-41CB-B1A2-6E45FE246318}"/>
    <hyperlink ref="F53:G53" location="'Daten KlimaBilanzKultur+'!A1" display="Datenerfassung KlimaBilanzKultur+" xr:uid="{42024CAA-1A17-4445-93F8-8608CD6D30CE}"/>
    <hyperlink ref="F52:G52" location="'Daten KlimaBilanzKultur'!A1" display="Datenerfassung KlimaBilanzKultur" xr:uid="{6F2A020E-5CDB-4A76-9909-B1C813915B85}"/>
    <hyperlink ref="F56:G56" location="Zertifikat!A1" display="Zertfikat" xr:uid="{092A27C6-EB13-4FA5-B48B-9788A6C4FEB0}"/>
    <hyperlink ref="B60:H60" r:id="rId1" display="🔗 Website der Kulturministerkonferenz" xr:uid="{E8CD7A00-E9D9-45B3-A0FB-A0C955EFFAC4}"/>
    <hyperlink ref="B61:H61" r:id="rId2" display="🔗 Website des Ministeriums für Wissenschaft, Forschung und Kunst Baden-Württemberg" xr:uid="{4EBDE48E-6492-4A34-B01C-9F71AE8275E6}"/>
    <hyperlink ref="E73" location="EF_Änderungen!A1" display="Aktualisierung der Emissionsfaktoren für Bilanzjahr 2023 (CO2-Kulturrechner 2024)" xr:uid="{BEE20BD0-F1B0-4B49-9552-21379746A49B}"/>
  </hyperlinks>
  <pageMargins left="0.7" right="0.7" top="0.78740157499999996" bottom="0.78740157499999996"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89D1F-2E05-4E45-BF8C-6E7AD5F0C7F6}">
  <sheetPr codeName="Tabelle9">
    <tabColor rgb="FFE0D1FF"/>
  </sheetPr>
  <dimension ref="A1:P183"/>
  <sheetViews>
    <sheetView showGridLines="0" zoomScaleNormal="100" workbookViewId="0"/>
  </sheetViews>
  <sheetFormatPr baseColWidth="10" defaultRowHeight="14.5" x14ac:dyDescent="0.35"/>
  <cols>
    <col min="1" max="1" width="26.08984375" customWidth="1"/>
    <col min="2" max="2" width="52.453125" customWidth="1"/>
    <col min="3" max="3" width="17.90625" customWidth="1"/>
    <col min="4" max="12" width="16.6328125" customWidth="1"/>
    <col min="13" max="15" width="21.1796875" customWidth="1"/>
    <col min="16" max="16" width="96.1796875" customWidth="1"/>
    <col min="18" max="18" width="25" customWidth="1"/>
    <col min="19" max="20" width="25.90625" customWidth="1"/>
    <col min="21" max="21" width="28" customWidth="1"/>
    <col min="22" max="22" width="21.54296875" customWidth="1"/>
  </cols>
  <sheetData>
    <row r="1" spans="1:16" ht="18.5" x14ac:dyDescent="0.45">
      <c r="A1" s="5" t="s">
        <v>818</v>
      </c>
    </row>
    <row r="2" spans="1:16" ht="4.5" customHeight="1" x14ac:dyDescent="0.45">
      <c r="A2" s="5"/>
    </row>
    <row r="3" spans="1:16" s="15" customFormat="1" ht="18.5" customHeight="1" x14ac:dyDescent="0.35">
      <c r="A3" s="310" t="s">
        <v>314</v>
      </c>
      <c r="B3" s="695" t="s">
        <v>373</v>
      </c>
      <c r="C3" s="695"/>
      <c r="D3" s="695"/>
    </row>
    <row r="4" spans="1:16" s="15" customFormat="1" ht="32.5" customHeight="1" x14ac:dyDescent="0.35">
      <c r="A4" s="309" t="s">
        <v>796</v>
      </c>
      <c r="B4" s="696" t="s">
        <v>801</v>
      </c>
      <c r="C4" s="697"/>
      <c r="D4" s="697"/>
    </row>
    <row r="5" spans="1:16" s="15" customFormat="1" ht="61.5" customHeight="1" x14ac:dyDescent="0.35">
      <c r="A5" s="309" t="s">
        <v>18</v>
      </c>
      <c r="B5" s="697" t="s">
        <v>797</v>
      </c>
      <c r="C5" s="707"/>
      <c r="D5" s="707"/>
    </row>
    <row r="6" spans="1:16" s="15" customFormat="1" ht="33" customHeight="1" x14ac:dyDescent="0.35">
      <c r="A6" s="309" t="s">
        <v>68</v>
      </c>
      <c r="B6" s="697" t="s">
        <v>798</v>
      </c>
      <c r="C6" s="707"/>
      <c r="D6" s="707"/>
    </row>
    <row r="7" spans="1:16" s="15" customFormat="1" ht="45.5" customHeight="1" x14ac:dyDescent="0.35">
      <c r="A7" s="309" t="s">
        <v>129</v>
      </c>
      <c r="B7" s="697" t="s">
        <v>799</v>
      </c>
      <c r="C7" s="707"/>
      <c r="D7" s="707"/>
    </row>
    <row r="8" spans="1:16" s="15" customFormat="1" ht="46" customHeight="1" x14ac:dyDescent="0.35">
      <c r="A8" s="309" t="s">
        <v>661</v>
      </c>
      <c r="B8" s="697" t="s">
        <v>799</v>
      </c>
      <c r="C8" s="707"/>
      <c r="D8" s="707"/>
    </row>
    <row r="9" spans="1:16" s="15" customFormat="1" ht="18.5" customHeight="1" x14ac:dyDescent="0.35">
      <c r="A9" s="309" t="s">
        <v>19</v>
      </c>
      <c r="B9" s="707" t="s">
        <v>800</v>
      </c>
      <c r="C9" s="707"/>
      <c r="D9" s="707"/>
    </row>
    <row r="10" spans="1:16" ht="26" customHeight="1" x14ac:dyDescent="0.35">
      <c r="B10" s="307"/>
    </row>
    <row r="11" spans="1:16" ht="18.5" x14ac:dyDescent="0.45">
      <c r="A11" s="308" t="s">
        <v>112</v>
      </c>
      <c r="C11" s="300"/>
    </row>
    <row r="12" spans="1:16" ht="18.5" x14ac:dyDescent="0.35">
      <c r="C12" s="300"/>
      <c r="D12" s="698" t="s">
        <v>241</v>
      </c>
      <c r="E12" s="699"/>
      <c r="F12" s="700"/>
      <c r="G12" s="701" t="s">
        <v>242</v>
      </c>
      <c r="H12" s="702"/>
      <c r="I12" s="703"/>
      <c r="J12" s="704" t="s">
        <v>243</v>
      </c>
      <c r="K12" s="705"/>
      <c r="L12" s="706"/>
      <c r="M12" s="708" t="s">
        <v>365</v>
      </c>
      <c r="N12" s="709"/>
      <c r="O12" s="710"/>
    </row>
    <row r="13" spans="1:16" ht="87.5" thickBot="1" x14ac:dyDescent="0.4">
      <c r="A13" s="373" t="s">
        <v>0</v>
      </c>
      <c r="B13" s="376" t="s">
        <v>1</v>
      </c>
      <c r="C13" s="376" t="s">
        <v>53</v>
      </c>
      <c r="D13" s="301" t="s">
        <v>640</v>
      </c>
      <c r="E13" s="301" t="s">
        <v>418</v>
      </c>
      <c r="F13" s="301" t="s">
        <v>366</v>
      </c>
      <c r="G13" s="302" t="s">
        <v>641</v>
      </c>
      <c r="H13" s="302" t="s">
        <v>419</v>
      </c>
      <c r="I13" s="302" t="s">
        <v>367</v>
      </c>
      <c r="J13" s="303" t="s">
        <v>642</v>
      </c>
      <c r="K13" s="303" t="s">
        <v>420</v>
      </c>
      <c r="L13" s="303" t="s">
        <v>368</v>
      </c>
      <c r="M13" s="304" t="s">
        <v>643</v>
      </c>
      <c r="N13" s="305" t="s">
        <v>421</v>
      </c>
      <c r="O13" s="305" t="s">
        <v>369</v>
      </c>
      <c r="P13" s="306" t="s">
        <v>370</v>
      </c>
    </row>
    <row r="14" spans="1:16" ht="15" thickTop="1" x14ac:dyDescent="0.35">
      <c r="A14" s="374" t="s">
        <v>11</v>
      </c>
      <c r="B14" s="377" t="s">
        <v>342</v>
      </c>
      <c r="C14" s="377" t="s">
        <v>245</v>
      </c>
      <c r="D14" s="383">
        <v>0.1832529</v>
      </c>
      <c r="E14" s="383">
        <v>0.1832529</v>
      </c>
      <c r="F14" s="384">
        <v>0</v>
      </c>
      <c r="G14" s="385">
        <v>0</v>
      </c>
      <c r="H14" s="385">
        <v>0</v>
      </c>
      <c r="I14" s="386" t="s">
        <v>125</v>
      </c>
      <c r="J14" s="387">
        <v>3.9375599999999997E-2</v>
      </c>
      <c r="K14" s="387">
        <v>4.4325200000000002E-2</v>
      </c>
      <c r="L14" s="388">
        <v>-0.11166559880158476</v>
      </c>
      <c r="M14" s="389" t="s">
        <v>125</v>
      </c>
      <c r="N14" s="389" t="s">
        <v>125</v>
      </c>
      <c r="O14" s="390" t="s">
        <v>125</v>
      </c>
      <c r="P14" s="379" t="s">
        <v>644</v>
      </c>
    </row>
    <row r="15" spans="1:16" x14ac:dyDescent="0.35">
      <c r="A15" s="375" t="s">
        <v>11</v>
      </c>
      <c r="B15" s="378" t="s">
        <v>374</v>
      </c>
      <c r="C15" s="378" t="s">
        <v>375</v>
      </c>
      <c r="D15" s="391">
        <v>1.9832715999999999</v>
      </c>
      <c r="E15" s="391">
        <v>1.9754666000000001</v>
      </c>
      <c r="F15" s="392">
        <v>3.9509653061205081E-3</v>
      </c>
      <c r="G15" s="393">
        <v>0</v>
      </c>
      <c r="H15" s="393">
        <v>0</v>
      </c>
      <c r="I15" s="394" t="s">
        <v>125</v>
      </c>
      <c r="J15" s="395">
        <v>0.38481009999999999</v>
      </c>
      <c r="K15" s="395">
        <v>0.47782560000000002</v>
      </c>
      <c r="L15" s="396">
        <v>-0.19466412013085951</v>
      </c>
      <c r="M15" s="397" t="s">
        <v>125</v>
      </c>
      <c r="N15" s="397" t="s">
        <v>125</v>
      </c>
      <c r="O15" s="398" t="s">
        <v>125</v>
      </c>
      <c r="P15" s="380" t="s">
        <v>644</v>
      </c>
    </row>
    <row r="16" spans="1:16" x14ac:dyDescent="0.35">
      <c r="A16" s="374" t="s">
        <v>11</v>
      </c>
      <c r="B16" s="377" t="s">
        <v>405</v>
      </c>
      <c r="C16" s="377" t="s">
        <v>245</v>
      </c>
      <c r="D16" s="383">
        <v>3.4025E-2</v>
      </c>
      <c r="E16" s="383">
        <v>3.4025E-2</v>
      </c>
      <c r="F16" s="384">
        <v>0</v>
      </c>
      <c r="G16" s="385">
        <v>0</v>
      </c>
      <c r="H16" s="385">
        <v>0</v>
      </c>
      <c r="I16" s="386" t="s">
        <v>125</v>
      </c>
      <c r="J16" s="387">
        <v>4.9558900000000003E-2</v>
      </c>
      <c r="K16" s="387">
        <v>6.7499199999999995E-2</v>
      </c>
      <c r="L16" s="388">
        <v>-0.26578537227107868</v>
      </c>
      <c r="M16" s="389" t="s">
        <v>125</v>
      </c>
      <c r="N16" s="389" t="s">
        <v>125</v>
      </c>
      <c r="O16" s="390" t="s">
        <v>125</v>
      </c>
      <c r="P16" s="379" t="s">
        <v>644</v>
      </c>
    </row>
    <row r="17" spans="1:16" x14ac:dyDescent="0.35">
      <c r="A17" s="375" t="s">
        <v>11</v>
      </c>
      <c r="B17" s="378" t="s">
        <v>422</v>
      </c>
      <c r="C17" s="378" t="s">
        <v>375</v>
      </c>
      <c r="D17" s="391">
        <v>0.28354430000000003</v>
      </c>
      <c r="E17" s="391">
        <v>0.25518780000000002</v>
      </c>
      <c r="F17" s="392">
        <v>0.11112012408116691</v>
      </c>
      <c r="G17" s="393">
        <v>0</v>
      </c>
      <c r="H17" s="393">
        <v>0</v>
      </c>
      <c r="I17" s="394" t="s">
        <v>125</v>
      </c>
      <c r="J17" s="395">
        <v>0.41299380000000002</v>
      </c>
      <c r="K17" s="395">
        <v>0.50624380000000002</v>
      </c>
      <c r="L17" s="396">
        <v>-0.18419978674306725</v>
      </c>
      <c r="M17" s="397" t="s">
        <v>125</v>
      </c>
      <c r="N17" s="397" t="s">
        <v>125</v>
      </c>
      <c r="O17" s="398" t="s">
        <v>125</v>
      </c>
      <c r="P17" s="380" t="s">
        <v>644</v>
      </c>
    </row>
    <row r="18" spans="1:16" x14ac:dyDescent="0.35">
      <c r="A18" s="374" t="s">
        <v>11</v>
      </c>
      <c r="B18" s="377" t="s">
        <v>343</v>
      </c>
      <c r="C18" s="377" t="s">
        <v>245</v>
      </c>
      <c r="D18" s="383">
        <v>2.5547799999999999E-2</v>
      </c>
      <c r="E18" s="383">
        <v>2.5547799999999999E-2</v>
      </c>
      <c r="F18" s="384">
        <v>0</v>
      </c>
      <c r="G18" s="385">
        <v>0</v>
      </c>
      <c r="H18" s="385">
        <v>0</v>
      </c>
      <c r="I18" s="386" t="s">
        <v>125</v>
      </c>
      <c r="J18" s="387">
        <v>0.1108565</v>
      </c>
      <c r="K18" s="387">
        <v>0.11219030000000001</v>
      </c>
      <c r="L18" s="388">
        <v>-1.188872834817279E-2</v>
      </c>
      <c r="M18" s="389" t="s">
        <v>125</v>
      </c>
      <c r="N18" s="389" t="s">
        <v>125</v>
      </c>
      <c r="O18" s="390" t="s">
        <v>125</v>
      </c>
      <c r="P18" s="379" t="s">
        <v>644</v>
      </c>
    </row>
    <row r="19" spans="1:16" x14ac:dyDescent="0.35">
      <c r="A19" s="375" t="s">
        <v>11</v>
      </c>
      <c r="B19" s="378" t="s">
        <v>376</v>
      </c>
      <c r="C19" s="378" t="s">
        <v>375</v>
      </c>
      <c r="D19" s="391">
        <v>0.2764935</v>
      </c>
      <c r="E19" s="391">
        <v>0.27540540000000002</v>
      </c>
      <c r="F19" s="392">
        <v>3.9509029234720185E-3</v>
      </c>
      <c r="G19" s="393">
        <v>0</v>
      </c>
      <c r="H19" s="393">
        <v>0</v>
      </c>
      <c r="I19" s="394" t="s">
        <v>125</v>
      </c>
      <c r="J19" s="395">
        <v>1.1997547</v>
      </c>
      <c r="K19" s="395">
        <v>1.2094115999999999</v>
      </c>
      <c r="L19" s="396">
        <v>-7.9847919434541306E-3</v>
      </c>
      <c r="M19" s="397" t="s">
        <v>125</v>
      </c>
      <c r="N19" s="397" t="s">
        <v>125</v>
      </c>
      <c r="O19" s="398" t="s">
        <v>125</v>
      </c>
      <c r="P19" s="380" t="s">
        <v>644</v>
      </c>
    </row>
    <row r="20" spans="1:16" x14ac:dyDescent="0.35">
      <c r="A20" s="374" t="s">
        <v>11</v>
      </c>
      <c r="B20" s="377" t="s">
        <v>76</v>
      </c>
      <c r="C20" s="377" t="s">
        <v>246</v>
      </c>
      <c r="D20" s="383">
        <v>0.26699800000000001</v>
      </c>
      <c r="E20" s="383">
        <v>0.26699800000000001</v>
      </c>
      <c r="F20" s="384">
        <v>0</v>
      </c>
      <c r="G20" s="385">
        <v>0</v>
      </c>
      <c r="H20" s="385">
        <v>0</v>
      </c>
      <c r="I20" s="386" t="s">
        <v>125</v>
      </c>
      <c r="J20" s="387">
        <v>4.5747999999999997E-2</v>
      </c>
      <c r="K20" s="387">
        <v>4.5747999999999997E-2</v>
      </c>
      <c r="L20" s="388">
        <v>0</v>
      </c>
      <c r="M20" s="389" t="s">
        <v>125</v>
      </c>
      <c r="N20" s="389" t="s">
        <v>125</v>
      </c>
      <c r="O20" s="390" t="s">
        <v>125</v>
      </c>
      <c r="P20" s="379" t="s">
        <v>644</v>
      </c>
    </row>
    <row r="21" spans="1:16" x14ac:dyDescent="0.35">
      <c r="A21" s="375" t="s">
        <v>11</v>
      </c>
      <c r="B21" s="378" t="s">
        <v>77</v>
      </c>
      <c r="C21" s="378" t="s">
        <v>25</v>
      </c>
      <c r="D21" s="391">
        <v>2.6208878000000002</v>
      </c>
      <c r="E21" s="391">
        <v>2.6694726000000002</v>
      </c>
      <c r="F21" s="392">
        <v>-1.8200149347852447E-2</v>
      </c>
      <c r="G21" s="393">
        <v>0</v>
      </c>
      <c r="H21" s="393">
        <v>0</v>
      </c>
      <c r="I21" s="394" t="s">
        <v>125</v>
      </c>
      <c r="J21" s="395">
        <v>0.44906889999999999</v>
      </c>
      <c r="K21" s="395">
        <v>0.45739350000000001</v>
      </c>
      <c r="L21" s="396">
        <v>-1.8200083735339517E-2</v>
      </c>
      <c r="M21" s="397" t="s">
        <v>125</v>
      </c>
      <c r="N21" s="397" t="s">
        <v>125</v>
      </c>
      <c r="O21" s="398" t="s">
        <v>125</v>
      </c>
      <c r="P21" s="380" t="s">
        <v>644</v>
      </c>
    </row>
    <row r="22" spans="1:16" x14ac:dyDescent="0.35">
      <c r="A22" s="374" t="s">
        <v>11</v>
      </c>
      <c r="B22" s="377" t="s">
        <v>349</v>
      </c>
      <c r="C22" s="377" t="s">
        <v>24</v>
      </c>
      <c r="D22" s="383">
        <v>0.2397754</v>
      </c>
      <c r="E22" s="383">
        <v>0.23291999999999999</v>
      </c>
      <c r="F22" s="384">
        <v>2.9432423149579306E-2</v>
      </c>
      <c r="G22" s="385">
        <v>0</v>
      </c>
      <c r="H22" s="385">
        <v>0</v>
      </c>
      <c r="I22" s="386" t="s">
        <v>125</v>
      </c>
      <c r="J22" s="387">
        <v>8.2482799999999995E-2</v>
      </c>
      <c r="K22" s="387">
        <v>3.5894000000000002E-2</v>
      </c>
      <c r="L22" s="388">
        <v>1.2979550899871841</v>
      </c>
      <c r="M22" s="389" t="s">
        <v>125</v>
      </c>
      <c r="N22" s="389" t="s">
        <v>125</v>
      </c>
      <c r="O22" s="390" t="s">
        <v>125</v>
      </c>
      <c r="P22" s="379" t="s">
        <v>644</v>
      </c>
    </row>
    <row r="23" spans="1:16" x14ac:dyDescent="0.35">
      <c r="A23" s="375" t="s">
        <v>11</v>
      </c>
      <c r="B23" s="378" t="s">
        <v>350</v>
      </c>
      <c r="C23" s="378" t="s">
        <v>25</v>
      </c>
      <c r="D23" s="391">
        <v>1.8621757999999999</v>
      </c>
      <c r="E23" s="391">
        <v>1.6242909999999999</v>
      </c>
      <c r="F23" s="392">
        <v>0.146454545398577</v>
      </c>
      <c r="G23" s="393">
        <v>0</v>
      </c>
      <c r="H23" s="393">
        <v>0</v>
      </c>
      <c r="I23" s="394" t="s">
        <v>125</v>
      </c>
      <c r="J23" s="395">
        <v>0.64058910000000002</v>
      </c>
      <c r="K23" s="395">
        <v>0.25031039999999999</v>
      </c>
      <c r="L23" s="396">
        <v>1.5591789234486464</v>
      </c>
      <c r="M23" s="397" t="s">
        <v>125</v>
      </c>
      <c r="N23" s="397" t="s">
        <v>125</v>
      </c>
      <c r="O23" s="398" t="s">
        <v>125</v>
      </c>
      <c r="P23" s="380" t="s">
        <v>644</v>
      </c>
    </row>
    <row r="24" spans="1:16" x14ac:dyDescent="0.35">
      <c r="A24" s="374" t="s">
        <v>11</v>
      </c>
      <c r="B24" s="377" t="s">
        <v>286</v>
      </c>
      <c r="C24" s="377" t="s">
        <v>24</v>
      </c>
      <c r="D24" s="383">
        <v>0</v>
      </c>
      <c r="E24" s="383">
        <v>0</v>
      </c>
      <c r="F24" s="384" t="s">
        <v>125</v>
      </c>
      <c r="G24" s="385">
        <v>0.26598300000000002</v>
      </c>
      <c r="H24" s="385">
        <v>0.26598300000000002</v>
      </c>
      <c r="I24" s="386">
        <v>0</v>
      </c>
      <c r="J24" s="387">
        <v>9.10715E-2</v>
      </c>
      <c r="K24" s="387">
        <v>5.1399E-2</v>
      </c>
      <c r="L24" s="388">
        <v>0.77185353800657597</v>
      </c>
      <c r="M24" s="389" t="s">
        <v>125</v>
      </c>
      <c r="N24" s="389" t="s">
        <v>125</v>
      </c>
      <c r="O24" s="390" t="s">
        <v>125</v>
      </c>
      <c r="P24" s="379" t="s">
        <v>644</v>
      </c>
    </row>
    <row r="25" spans="1:16" x14ac:dyDescent="0.35">
      <c r="A25" s="375" t="s">
        <v>11</v>
      </c>
      <c r="B25" s="378" t="s">
        <v>64</v>
      </c>
      <c r="C25" s="378" t="s">
        <v>24</v>
      </c>
      <c r="D25" s="391">
        <v>0</v>
      </c>
      <c r="E25" s="391">
        <v>0</v>
      </c>
      <c r="F25" s="392" t="s">
        <v>125</v>
      </c>
      <c r="G25" s="393">
        <v>0</v>
      </c>
      <c r="H25" s="393">
        <v>0</v>
      </c>
      <c r="I25" s="394" t="s">
        <v>125</v>
      </c>
      <c r="J25" s="395">
        <v>9.10715E-2</v>
      </c>
      <c r="K25" s="395">
        <v>5.1399E-2</v>
      </c>
      <c r="L25" s="396">
        <v>0.77185353800657597</v>
      </c>
      <c r="M25" s="397" t="s">
        <v>125</v>
      </c>
      <c r="N25" s="397" t="s">
        <v>125</v>
      </c>
      <c r="O25" s="398" t="s">
        <v>125</v>
      </c>
      <c r="P25" s="380" t="s">
        <v>644</v>
      </c>
    </row>
    <row r="26" spans="1:16" x14ac:dyDescent="0.35">
      <c r="A26" s="374" t="s">
        <v>11</v>
      </c>
      <c r="B26" s="377" t="s">
        <v>22</v>
      </c>
      <c r="C26" s="377" t="s">
        <v>26</v>
      </c>
      <c r="D26" s="383">
        <v>1.751E-3</v>
      </c>
      <c r="E26" s="383">
        <v>1.5884E-3</v>
      </c>
      <c r="F26" s="384">
        <v>0.1023671619239486</v>
      </c>
      <c r="G26" s="385">
        <v>0</v>
      </c>
      <c r="H26" s="385">
        <v>0</v>
      </c>
      <c r="I26" s="386" t="s">
        <v>125</v>
      </c>
      <c r="J26" s="387">
        <v>8.0319100000000004E-2</v>
      </c>
      <c r="K26" s="387">
        <v>8.5628300000000004E-2</v>
      </c>
      <c r="L26" s="388">
        <v>-6.2002865874950221E-2</v>
      </c>
      <c r="M26" s="389" t="s">
        <v>125</v>
      </c>
      <c r="N26" s="389" t="s">
        <v>125</v>
      </c>
      <c r="O26" s="390" t="s">
        <v>125</v>
      </c>
      <c r="P26" s="379" t="s">
        <v>644</v>
      </c>
    </row>
    <row r="27" spans="1:16" x14ac:dyDescent="0.35">
      <c r="A27" s="375" t="s">
        <v>11</v>
      </c>
      <c r="B27" s="378" t="s">
        <v>23</v>
      </c>
      <c r="C27" s="378" t="s">
        <v>24</v>
      </c>
      <c r="D27" s="391">
        <v>0</v>
      </c>
      <c r="E27" s="391">
        <v>0</v>
      </c>
      <c r="F27" s="392" t="s">
        <v>125</v>
      </c>
      <c r="G27" s="393">
        <v>0</v>
      </c>
      <c r="H27" s="393">
        <v>0</v>
      </c>
      <c r="I27" s="394" t="s">
        <v>125</v>
      </c>
      <c r="J27" s="395">
        <v>1.4814000000000001E-2</v>
      </c>
      <c r="K27" s="395">
        <v>2.16692E-2</v>
      </c>
      <c r="L27" s="396">
        <v>-0.31635685673675074</v>
      </c>
      <c r="M27" s="397" t="s">
        <v>125</v>
      </c>
      <c r="N27" s="397" t="s">
        <v>125</v>
      </c>
      <c r="O27" s="398" t="s">
        <v>125</v>
      </c>
      <c r="P27" s="380" t="s">
        <v>644</v>
      </c>
    </row>
    <row r="28" spans="1:16" x14ac:dyDescent="0.35">
      <c r="A28" s="374" t="s">
        <v>15</v>
      </c>
      <c r="B28" s="377" t="s">
        <v>128</v>
      </c>
      <c r="C28" s="377" t="s">
        <v>24</v>
      </c>
      <c r="D28" s="383">
        <v>0</v>
      </c>
      <c r="E28" s="383">
        <v>0</v>
      </c>
      <c r="F28" s="384" t="s">
        <v>125</v>
      </c>
      <c r="G28" s="385">
        <v>0.37158449999999998</v>
      </c>
      <c r="H28" s="385">
        <v>0.33655000000000002</v>
      </c>
      <c r="I28" s="386">
        <v>0.10409894517902234</v>
      </c>
      <c r="J28" s="387">
        <v>5.5327899999999999E-2</v>
      </c>
      <c r="K28" s="387">
        <v>8.029E-2</v>
      </c>
      <c r="L28" s="388">
        <v>-0.310899240254079</v>
      </c>
      <c r="M28" s="389" t="s">
        <v>125</v>
      </c>
      <c r="N28" s="389" t="s">
        <v>125</v>
      </c>
      <c r="O28" s="390" t="s">
        <v>125</v>
      </c>
      <c r="P28" s="379" t="s">
        <v>644</v>
      </c>
    </row>
    <row r="29" spans="1:16" x14ac:dyDescent="0.35">
      <c r="A29" s="375" t="s">
        <v>15</v>
      </c>
      <c r="B29" s="378" t="s">
        <v>105</v>
      </c>
      <c r="C29" s="378" t="s">
        <v>24</v>
      </c>
      <c r="D29" s="391">
        <v>0</v>
      </c>
      <c r="E29" s="391">
        <v>0</v>
      </c>
      <c r="F29" s="392" t="s">
        <v>125</v>
      </c>
      <c r="G29" s="393">
        <v>0</v>
      </c>
      <c r="H29" s="393">
        <v>0</v>
      </c>
      <c r="I29" s="394" t="s">
        <v>125</v>
      </c>
      <c r="J29" s="395">
        <v>5.6492000000000001E-2</v>
      </c>
      <c r="K29" s="395">
        <v>5.6509799999999999E-2</v>
      </c>
      <c r="L29" s="396">
        <v>-3.1498961242117958E-4</v>
      </c>
      <c r="M29" s="397">
        <v>0.74606539999999999</v>
      </c>
      <c r="N29" s="397">
        <v>0.74606539999999999</v>
      </c>
      <c r="O29" s="398">
        <v>0</v>
      </c>
      <c r="P29" s="380" t="s">
        <v>644</v>
      </c>
    </row>
    <row r="30" spans="1:16" x14ac:dyDescent="0.35">
      <c r="A30" s="374" t="s">
        <v>15</v>
      </c>
      <c r="B30" s="377" t="s">
        <v>126</v>
      </c>
      <c r="C30" s="377" t="s">
        <v>25</v>
      </c>
      <c r="D30" s="383">
        <v>2.686194</v>
      </c>
      <c r="E30" s="383">
        <v>2.4875411999999999</v>
      </c>
      <c r="F30" s="384">
        <v>7.9859099419137297E-2</v>
      </c>
      <c r="G30" s="385">
        <v>0</v>
      </c>
      <c r="H30" s="385">
        <v>0</v>
      </c>
      <c r="I30" s="386" t="s">
        <v>125</v>
      </c>
      <c r="J30" s="387">
        <v>0.70501559999999996</v>
      </c>
      <c r="K30" s="387">
        <v>0.84432660000000004</v>
      </c>
      <c r="L30" s="388">
        <v>-0.16499657833828765</v>
      </c>
      <c r="M30" s="389" t="s">
        <v>125</v>
      </c>
      <c r="N30" s="389" t="s">
        <v>125</v>
      </c>
      <c r="O30" s="390" t="s">
        <v>125</v>
      </c>
      <c r="P30" s="379" t="s">
        <v>645</v>
      </c>
    </row>
    <row r="31" spans="1:16" x14ac:dyDescent="0.35">
      <c r="A31" s="375" t="s">
        <v>49</v>
      </c>
      <c r="B31" s="378" t="s">
        <v>135</v>
      </c>
      <c r="C31" s="378" t="s">
        <v>26</v>
      </c>
      <c r="D31" s="391">
        <v>12500</v>
      </c>
      <c r="E31" s="391">
        <v>12500</v>
      </c>
      <c r="F31" s="392">
        <v>0</v>
      </c>
      <c r="G31" s="393">
        <v>0</v>
      </c>
      <c r="H31" s="393">
        <v>0</v>
      </c>
      <c r="I31" s="394" t="s">
        <v>125</v>
      </c>
      <c r="J31" s="395">
        <v>0</v>
      </c>
      <c r="K31" s="395">
        <v>0</v>
      </c>
      <c r="L31" s="396" t="s">
        <v>125</v>
      </c>
      <c r="M31" s="397" t="s">
        <v>125</v>
      </c>
      <c r="N31" s="397" t="s">
        <v>125</v>
      </c>
      <c r="O31" s="398" t="s">
        <v>125</v>
      </c>
      <c r="P31" s="380" t="s">
        <v>646</v>
      </c>
    </row>
    <row r="32" spans="1:16" x14ac:dyDescent="0.35">
      <c r="A32" s="374" t="s">
        <v>49</v>
      </c>
      <c r="B32" s="377" t="s">
        <v>136</v>
      </c>
      <c r="C32" s="377" t="s">
        <v>26</v>
      </c>
      <c r="D32" s="383">
        <v>90.4</v>
      </c>
      <c r="E32" s="383">
        <v>90.4</v>
      </c>
      <c r="F32" s="384">
        <v>0</v>
      </c>
      <c r="G32" s="385">
        <v>0</v>
      </c>
      <c r="H32" s="385">
        <v>0</v>
      </c>
      <c r="I32" s="386" t="s">
        <v>125</v>
      </c>
      <c r="J32" s="387">
        <v>0</v>
      </c>
      <c r="K32" s="387">
        <v>0</v>
      </c>
      <c r="L32" s="388" t="s">
        <v>125</v>
      </c>
      <c r="M32" s="389" t="s">
        <v>125</v>
      </c>
      <c r="N32" s="389" t="s">
        <v>125</v>
      </c>
      <c r="O32" s="390" t="s">
        <v>125</v>
      </c>
      <c r="P32" s="379" t="s">
        <v>646</v>
      </c>
    </row>
    <row r="33" spans="1:16" x14ac:dyDescent="0.35">
      <c r="A33" s="375" t="s">
        <v>49</v>
      </c>
      <c r="B33" s="378" t="s">
        <v>137</v>
      </c>
      <c r="C33" s="378" t="s">
        <v>26</v>
      </c>
      <c r="D33" s="391">
        <v>1960</v>
      </c>
      <c r="E33" s="391">
        <v>1960</v>
      </c>
      <c r="F33" s="392">
        <v>0</v>
      </c>
      <c r="G33" s="393">
        <v>0</v>
      </c>
      <c r="H33" s="393">
        <v>0</v>
      </c>
      <c r="I33" s="394" t="s">
        <v>125</v>
      </c>
      <c r="J33" s="395">
        <v>0</v>
      </c>
      <c r="K33" s="395">
        <v>0</v>
      </c>
      <c r="L33" s="396" t="s">
        <v>125</v>
      </c>
      <c r="M33" s="397" t="s">
        <v>125</v>
      </c>
      <c r="N33" s="397" t="s">
        <v>125</v>
      </c>
      <c r="O33" s="398" t="s">
        <v>125</v>
      </c>
      <c r="P33" s="380" t="s">
        <v>646</v>
      </c>
    </row>
    <row r="34" spans="1:16" x14ac:dyDescent="0.35">
      <c r="A34" s="374" t="s">
        <v>49</v>
      </c>
      <c r="B34" s="377" t="s">
        <v>138</v>
      </c>
      <c r="C34" s="377" t="s">
        <v>26</v>
      </c>
      <c r="D34" s="383">
        <v>3740</v>
      </c>
      <c r="E34" s="383">
        <v>3740</v>
      </c>
      <c r="F34" s="384">
        <v>0</v>
      </c>
      <c r="G34" s="385">
        <v>0</v>
      </c>
      <c r="H34" s="385">
        <v>0</v>
      </c>
      <c r="I34" s="386" t="s">
        <v>125</v>
      </c>
      <c r="J34" s="387">
        <v>0</v>
      </c>
      <c r="K34" s="387">
        <v>0</v>
      </c>
      <c r="L34" s="388" t="s">
        <v>125</v>
      </c>
      <c r="M34" s="389" t="s">
        <v>125</v>
      </c>
      <c r="N34" s="389" t="s">
        <v>125</v>
      </c>
      <c r="O34" s="390" t="s">
        <v>125</v>
      </c>
      <c r="P34" s="379" t="s">
        <v>646</v>
      </c>
    </row>
    <row r="35" spans="1:16" x14ac:dyDescent="0.35">
      <c r="A35" s="375" t="s">
        <v>49</v>
      </c>
      <c r="B35" s="378" t="s">
        <v>139</v>
      </c>
      <c r="C35" s="378" t="s">
        <v>26</v>
      </c>
      <c r="D35" s="391">
        <v>1530</v>
      </c>
      <c r="E35" s="391">
        <v>1530</v>
      </c>
      <c r="F35" s="392">
        <v>0</v>
      </c>
      <c r="G35" s="393">
        <v>0</v>
      </c>
      <c r="H35" s="393">
        <v>0</v>
      </c>
      <c r="I35" s="394" t="s">
        <v>125</v>
      </c>
      <c r="J35" s="395">
        <v>0</v>
      </c>
      <c r="K35" s="395">
        <v>0</v>
      </c>
      <c r="L35" s="396" t="s">
        <v>125</v>
      </c>
      <c r="M35" s="397" t="s">
        <v>125</v>
      </c>
      <c r="N35" s="397" t="s">
        <v>125</v>
      </c>
      <c r="O35" s="398" t="s">
        <v>125</v>
      </c>
      <c r="P35" s="380" t="s">
        <v>646</v>
      </c>
    </row>
    <row r="36" spans="1:16" x14ac:dyDescent="0.35">
      <c r="A36" s="374" t="s">
        <v>49</v>
      </c>
      <c r="B36" s="377" t="s">
        <v>140</v>
      </c>
      <c r="C36" s="377" t="s">
        <v>26</v>
      </c>
      <c r="D36" s="383">
        <v>5810</v>
      </c>
      <c r="E36" s="383">
        <v>5810</v>
      </c>
      <c r="F36" s="384">
        <v>0</v>
      </c>
      <c r="G36" s="385">
        <v>0</v>
      </c>
      <c r="H36" s="385">
        <v>0</v>
      </c>
      <c r="I36" s="386" t="s">
        <v>125</v>
      </c>
      <c r="J36" s="387">
        <v>0</v>
      </c>
      <c r="K36" s="387">
        <v>0</v>
      </c>
      <c r="L36" s="388" t="s">
        <v>125</v>
      </c>
      <c r="M36" s="389" t="s">
        <v>125</v>
      </c>
      <c r="N36" s="389" t="s">
        <v>125</v>
      </c>
      <c r="O36" s="390" t="s">
        <v>125</v>
      </c>
      <c r="P36" s="379" t="s">
        <v>646</v>
      </c>
    </row>
    <row r="37" spans="1:16" x14ac:dyDescent="0.35">
      <c r="A37" s="375" t="s">
        <v>49</v>
      </c>
      <c r="B37" s="378" t="s">
        <v>141</v>
      </c>
      <c r="C37" s="378" t="s">
        <v>26</v>
      </c>
      <c r="D37" s="391">
        <v>3600</v>
      </c>
      <c r="E37" s="391">
        <v>3600</v>
      </c>
      <c r="F37" s="392">
        <v>0</v>
      </c>
      <c r="G37" s="393">
        <v>0</v>
      </c>
      <c r="H37" s="393">
        <v>0</v>
      </c>
      <c r="I37" s="394" t="s">
        <v>125</v>
      </c>
      <c r="J37" s="395">
        <v>0</v>
      </c>
      <c r="K37" s="395">
        <v>0</v>
      </c>
      <c r="L37" s="396" t="s">
        <v>125</v>
      </c>
      <c r="M37" s="397" t="s">
        <v>125</v>
      </c>
      <c r="N37" s="397" t="s">
        <v>125</v>
      </c>
      <c r="O37" s="398" t="s">
        <v>125</v>
      </c>
      <c r="P37" s="380" t="s">
        <v>646</v>
      </c>
    </row>
    <row r="38" spans="1:16" x14ac:dyDescent="0.35">
      <c r="A38" s="374" t="s">
        <v>49</v>
      </c>
      <c r="B38" s="377" t="s">
        <v>142</v>
      </c>
      <c r="C38" s="377" t="s">
        <v>26</v>
      </c>
      <c r="D38" s="383">
        <v>14600</v>
      </c>
      <c r="E38" s="383">
        <v>14600</v>
      </c>
      <c r="F38" s="384">
        <v>0</v>
      </c>
      <c r="G38" s="385">
        <v>0</v>
      </c>
      <c r="H38" s="385">
        <v>0</v>
      </c>
      <c r="I38" s="386" t="s">
        <v>125</v>
      </c>
      <c r="J38" s="387">
        <v>0</v>
      </c>
      <c r="K38" s="387">
        <v>0</v>
      </c>
      <c r="L38" s="388" t="s">
        <v>125</v>
      </c>
      <c r="M38" s="389" t="s">
        <v>125</v>
      </c>
      <c r="N38" s="389" t="s">
        <v>125</v>
      </c>
      <c r="O38" s="390" t="s">
        <v>125</v>
      </c>
      <c r="P38" s="379" t="s">
        <v>646</v>
      </c>
    </row>
    <row r="39" spans="1:16" x14ac:dyDescent="0.35">
      <c r="A39" s="375" t="s">
        <v>49</v>
      </c>
      <c r="B39" s="378" t="s">
        <v>143</v>
      </c>
      <c r="C39" s="378" t="s">
        <v>26</v>
      </c>
      <c r="D39" s="391">
        <v>771</v>
      </c>
      <c r="E39" s="391">
        <v>771</v>
      </c>
      <c r="F39" s="392">
        <v>0</v>
      </c>
      <c r="G39" s="393">
        <v>0</v>
      </c>
      <c r="H39" s="393">
        <v>0</v>
      </c>
      <c r="I39" s="394" t="s">
        <v>125</v>
      </c>
      <c r="J39" s="395">
        <v>0</v>
      </c>
      <c r="K39" s="395">
        <v>0</v>
      </c>
      <c r="L39" s="396" t="s">
        <v>125</v>
      </c>
      <c r="M39" s="397" t="s">
        <v>125</v>
      </c>
      <c r="N39" s="397" t="s">
        <v>125</v>
      </c>
      <c r="O39" s="398" t="s">
        <v>125</v>
      </c>
      <c r="P39" s="380" t="s">
        <v>646</v>
      </c>
    </row>
    <row r="40" spans="1:16" x14ac:dyDescent="0.35">
      <c r="A40" s="374" t="s">
        <v>49</v>
      </c>
      <c r="B40" s="377" t="s">
        <v>144</v>
      </c>
      <c r="C40" s="377" t="s">
        <v>26</v>
      </c>
      <c r="D40" s="383">
        <v>0.501</v>
      </c>
      <c r="E40" s="383">
        <v>0.501</v>
      </c>
      <c r="F40" s="384">
        <v>0</v>
      </c>
      <c r="G40" s="385">
        <v>0</v>
      </c>
      <c r="H40" s="385">
        <v>0</v>
      </c>
      <c r="I40" s="386" t="s">
        <v>125</v>
      </c>
      <c r="J40" s="387">
        <v>0</v>
      </c>
      <c r="K40" s="387">
        <v>0</v>
      </c>
      <c r="L40" s="388" t="s">
        <v>125</v>
      </c>
      <c r="M40" s="389" t="s">
        <v>125</v>
      </c>
      <c r="N40" s="389" t="s">
        <v>125</v>
      </c>
      <c r="O40" s="390" t="s">
        <v>125</v>
      </c>
      <c r="P40" s="379" t="s">
        <v>646</v>
      </c>
    </row>
    <row r="41" spans="1:16" x14ac:dyDescent="0.35">
      <c r="A41" s="375" t="s">
        <v>49</v>
      </c>
      <c r="B41" s="378" t="s">
        <v>145</v>
      </c>
      <c r="C41" s="378" t="s">
        <v>26</v>
      </c>
      <c r="D41" s="391">
        <v>0.315</v>
      </c>
      <c r="E41" s="391">
        <v>0.315</v>
      </c>
      <c r="F41" s="392">
        <v>0</v>
      </c>
      <c r="G41" s="393">
        <v>0</v>
      </c>
      <c r="H41" s="393">
        <v>0</v>
      </c>
      <c r="I41" s="394" t="s">
        <v>125</v>
      </c>
      <c r="J41" s="395">
        <v>0</v>
      </c>
      <c r="K41" s="395">
        <v>0</v>
      </c>
      <c r="L41" s="396" t="s">
        <v>125</v>
      </c>
      <c r="M41" s="397" t="s">
        <v>125</v>
      </c>
      <c r="N41" s="397" t="s">
        <v>125</v>
      </c>
      <c r="O41" s="398" t="s">
        <v>125</v>
      </c>
      <c r="P41" s="380" t="s">
        <v>646</v>
      </c>
    </row>
    <row r="42" spans="1:16" x14ac:dyDescent="0.35">
      <c r="A42" s="374" t="s">
        <v>49</v>
      </c>
      <c r="B42" s="377" t="s">
        <v>153</v>
      </c>
      <c r="C42" s="377" t="s">
        <v>26</v>
      </c>
      <c r="D42" s="383">
        <v>12400</v>
      </c>
      <c r="E42" s="383">
        <v>12400</v>
      </c>
      <c r="F42" s="384">
        <v>0</v>
      </c>
      <c r="G42" s="385">
        <v>0</v>
      </c>
      <c r="H42" s="385">
        <v>0</v>
      </c>
      <c r="I42" s="386" t="s">
        <v>125</v>
      </c>
      <c r="J42" s="387">
        <v>0</v>
      </c>
      <c r="K42" s="387">
        <v>0</v>
      </c>
      <c r="L42" s="388" t="s">
        <v>125</v>
      </c>
      <c r="M42" s="389" t="s">
        <v>125</v>
      </c>
      <c r="N42" s="389" t="s">
        <v>125</v>
      </c>
      <c r="O42" s="390" t="s">
        <v>125</v>
      </c>
      <c r="P42" s="379" t="s">
        <v>646</v>
      </c>
    </row>
    <row r="43" spans="1:16" x14ac:dyDescent="0.35">
      <c r="A43" s="375" t="s">
        <v>49</v>
      </c>
      <c r="B43" s="378" t="s">
        <v>146</v>
      </c>
      <c r="C43" s="378" t="s">
        <v>26</v>
      </c>
      <c r="D43" s="391">
        <v>3.7</v>
      </c>
      <c r="E43" s="391">
        <v>3.7</v>
      </c>
      <c r="F43" s="392">
        <v>0</v>
      </c>
      <c r="G43" s="393">
        <v>0</v>
      </c>
      <c r="H43" s="393">
        <v>0</v>
      </c>
      <c r="I43" s="394" t="s">
        <v>125</v>
      </c>
      <c r="J43" s="395">
        <v>0</v>
      </c>
      <c r="K43" s="395">
        <v>0</v>
      </c>
      <c r="L43" s="396" t="s">
        <v>125</v>
      </c>
      <c r="M43" s="397" t="s">
        <v>125</v>
      </c>
      <c r="N43" s="397" t="s">
        <v>125</v>
      </c>
      <c r="O43" s="398" t="s">
        <v>125</v>
      </c>
      <c r="P43" s="380" t="s">
        <v>646</v>
      </c>
    </row>
    <row r="44" spans="1:16" x14ac:dyDescent="0.35">
      <c r="A44" s="374" t="s">
        <v>49</v>
      </c>
      <c r="B44" s="377" t="s">
        <v>147</v>
      </c>
      <c r="C44" s="377" t="s">
        <v>26</v>
      </c>
      <c r="D44" s="383">
        <v>1</v>
      </c>
      <c r="E44" s="383">
        <v>1</v>
      </c>
      <c r="F44" s="384">
        <v>0</v>
      </c>
      <c r="G44" s="385">
        <v>0</v>
      </c>
      <c r="H44" s="385">
        <v>0</v>
      </c>
      <c r="I44" s="386" t="s">
        <v>125</v>
      </c>
      <c r="J44" s="387">
        <v>0</v>
      </c>
      <c r="K44" s="387">
        <v>0</v>
      </c>
      <c r="L44" s="388" t="s">
        <v>125</v>
      </c>
      <c r="M44" s="389" t="s">
        <v>125</v>
      </c>
      <c r="N44" s="389" t="s">
        <v>125</v>
      </c>
      <c r="O44" s="390" t="s">
        <v>125</v>
      </c>
      <c r="P44" s="379" t="s">
        <v>646</v>
      </c>
    </row>
    <row r="45" spans="1:16" x14ac:dyDescent="0.35">
      <c r="A45" s="375" t="s">
        <v>49</v>
      </c>
      <c r="B45" s="378" t="s">
        <v>148</v>
      </c>
      <c r="C45" s="378" t="s">
        <v>26</v>
      </c>
      <c r="D45" s="391">
        <v>0.437</v>
      </c>
      <c r="E45" s="391">
        <v>0.437</v>
      </c>
      <c r="F45" s="392">
        <v>0</v>
      </c>
      <c r="G45" s="393">
        <v>0</v>
      </c>
      <c r="H45" s="393">
        <v>0</v>
      </c>
      <c r="I45" s="394" t="s">
        <v>125</v>
      </c>
      <c r="J45" s="395">
        <v>0</v>
      </c>
      <c r="K45" s="395">
        <v>0</v>
      </c>
      <c r="L45" s="396" t="s">
        <v>125</v>
      </c>
      <c r="M45" s="397" t="s">
        <v>125</v>
      </c>
      <c r="N45" s="397" t="s">
        <v>125</v>
      </c>
      <c r="O45" s="398" t="s">
        <v>125</v>
      </c>
      <c r="P45" s="380" t="s">
        <v>646</v>
      </c>
    </row>
    <row r="46" spans="1:16" x14ac:dyDescent="0.35">
      <c r="A46" s="374" t="s">
        <v>49</v>
      </c>
      <c r="B46" s="377" t="s">
        <v>149</v>
      </c>
      <c r="C46" s="377" t="s">
        <v>26</v>
      </c>
      <c r="D46" s="383">
        <v>0.02</v>
      </c>
      <c r="E46" s="383">
        <v>0.02</v>
      </c>
      <c r="F46" s="384">
        <v>0</v>
      </c>
      <c r="G46" s="385">
        <v>0</v>
      </c>
      <c r="H46" s="385">
        <v>0</v>
      </c>
      <c r="I46" s="386" t="s">
        <v>125</v>
      </c>
      <c r="J46" s="387">
        <v>0</v>
      </c>
      <c r="K46" s="387">
        <v>0</v>
      </c>
      <c r="L46" s="388" t="s">
        <v>125</v>
      </c>
      <c r="M46" s="389" t="s">
        <v>125</v>
      </c>
      <c r="N46" s="389" t="s">
        <v>125</v>
      </c>
      <c r="O46" s="390" t="s">
        <v>125</v>
      </c>
      <c r="P46" s="379" t="s">
        <v>646</v>
      </c>
    </row>
    <row r="47" spans="1:16" x14ac:dyDescent="0.35">
      <c r="A47" s="375" t="s">
        <v>49</v>
      </c>
      <c r="B47" s="378" t="s">
        <v>154</v>
      </c>
      <c r="C47" s="378" t="s">
        <v>26</v>
      </c>
      <c r="D47" s="391">
        <v>1263</v>
      </c>
      <c r="E47" s="391">
        <v>1263</v>
      </c>
      <c r="F47" s="392">
        <v>0</v>
      </c>
      <c r="G47" s="393">
        <v>0</v>
      </c>
      <c r="H47" s="393">
        <v>0</v>
      </c>
      <c r="I47" s="394" t="s">
        <v>125</v>
      </c>
      <c r="J47" s="395">
        <v>0</v>
      </c>
      <c r="K47" s="395">
        <v>0</v>
      </c>
      <c r="L47" s="396" t="s">
        <v>125</v>
      </c>
      <c r="M47" s="397" t="s">
        <v>125</v>
      </c>
      <c r="N47" s="397" t="s">
        <v>125</v>
      </c>
      <c r="O47" s="398" t="s">
        <v>125</v>
      </c>
      <c r="P47" s="380" t="s">
        <v>646</v>
      </c>
    </row>
    <row r="48" spans="1:16" x14ac:dyDescent="0.35">
      <c r="A48" s="374" t="s">
        <v>49</v>
      </c>
      <c r="B48" s="377" t="s">
        <v>155</v>
      </c>
      <c r="C48" s="377" t="s">
        <v>26</v>
      </c>
      <c r="D48" s="383">
        <v>1381</v>
      </c>
      <c r="E48" s="383">
        <v>1381</v>
      </c>
      <c r="F48" s="384">
        <v>0</v>
      </c>
      <c r="G48" s="385">
        <v>0</v>
      </c>
      <c r="H48" s="385">
        <v>0</v>
      </c>
      <c r="I48" s="386" t="s">
        <v>125</v>
      </c>
      <c r="J48" s="387">
        <v>0</v>
      </c>
      <c r="K48" s="387">
        <v>0</v>
      </c>
      <c r="L48" s="388" t="s">
        <v>125</v>
      </c>
      <c r="M48" s="389" t="s">
        <v>125</v>
      </c>
      <c r="N48" s="389" t="s">
        <v>125</v>
      </c>
      <c r="O48" s="390" t="s">
        <v>125</v>
      </c>
      <c r="P48" s="379" t="s">
        <v>646</v>
      </c>
    </row>
    <row r="49" spans="1:16" x14ac:dyDescent="0.35">
      <c r="A49" s="375" t="s">
        <v>49</v>
      </c>
      <c r="B49" s="378" t="s">
        <v>156</v>
      </c>
      <c r="C49" s="378" t="s">
        <v>26</v>
      </c>
      <c r="D49" s="391">
        <v>2989</v>
      </c>
      <c r="E49" s="391">
        <v>2989</v>
      </c>
      <c r="F49" s="392">
        <v>0</v>
      </c>
      <c r="G49" s="393">
        <v>0</v>
      </c>
      <c r="H49" s="393">
        <v>0</v>
      </c>
      <c r="I49" s="394" t="s">
        <v>125</v>
      </c>
      <c r="J49" s="395">
        <v>0</v>
      </c>
      <c r="K49" s="395">
        <v>0</v>
      </c>
      <c r="L49" s="396" t="s">
        <v>125</v>
      </c>
      <c r="M49" s="397" t="s">
        <v>125</v>
      </c>
      <c r="N49" s="397" t="s">
        <v>125</v>
      </c>
      <c r="O49" s="398" t="s">
        <v>125</v>
      </c>
      <c r="P49" s="380" t="s">
        <v>646</v>
      </c>
    </row>
    <row r="50" spans="1:16" x14ac:dyDescent="0.35">
      <c r="A50" s="374" t="s">
        <v>49</v>
      </c>
      <c r="B50" s="377" t="s">
        <v>157</v>
      </c>
      <c r="C50" s="377" t="s">
        <v>26</v>
      </c>
      <c r="D50" s="383">
        <v>2597</v>
      </c>
      <c r="E50" s="383">
        <v>2597</v>
      </c>
      <c r="F50" s="384">
        <v>0</v>
      </c>
      <c r="G50" s="385">
        <v>0</v>
      </c>
      <c r="H50" s="385">
        <v>0</v>
      </c>
      <c r="I50" s="386" t="s">
        <v>125</v>
      </c>
      <c r="J50" s="387">
        <v>0</v>
      </c>
      <c r="K50" s="387">
        <v>0</v>
      </c>
      <c r="L50" s="388" t="s">
        <v>125</v>
      </c>
      <c r="M50" s="389" t="s">
        <v>125</v>
      </c>
      <c r="N50" s="389" t="s">
        <v>125</v>
      </c>
      <c r="O50" s="390" t="s">
        <v>125</v>
      </c>
      <c r="P50" s="379" t="s">
        <v>646</v>
      </c>
    </row>
    <row r="51" spans="1:16" x14ac:dyDescent="0.35">
      <c r="A51" s="375" t="s">
        <v>49</v>
      </c>
      <c r="B51" s="378" t="s">
        <v>158</v>
      </c>
      <c r="C51" s="378" t="s">
        <v>26</v>
      </c>
      <c r="D51" s="391">
        <v>4728</v>
      </c>
      <c r="E51" s="391">
        <v>4728</v>
      </c>
      <c r="F51" s="392">
        <v>0</v>
      </c>
      <c r="G51" s="393">
        <v>0</v>
      </c>
      <c r="H51" s="393">
        <v>0</v>
      </c>
      <c r="I51" s="394" t="s">
        <v>125</v>
      </c>
      <c r="J51" s="395">
        <v>0</v>
      </c>
      <c r="K51" s="395">
        <v>0</v>
      </c>
      <c r="L51" s="396" t="s">
        <v>125</v>
      </c>
      <c r="M51" s="397" t="s">
        <v>125</v>
      </c>
      <c r="N51" s="397" t="s">
        <v>125</v>
      </c>
      <c r="O51" s="398" t="s">
        <v>125</v>
      </c>
      <c r="P51" s="380" t="s">
        <v>646</v>
      </c>
    </row>
    <row r="52" spans="1:16" x14ac:dyDescent="0.35">
      <c r="A52" s="374" t="s">
        <v>49</v>
      </c>
      <c r="B52" s="377" t="s">
        <v>159</v>
      </c>
      <c r="C52" s="377" t="s">
        <v>26</v>
      </c>
      <c r="D52" s="383">
        <v>2262</v>
      </c>
      <c r="E52" s="383">
        <v>2262</v>
      </c>
      <c r="F52" s="384">
        <v>0</v>
      </c>
      <c r="G52" s="385">
        <v>0</v>
      </c>
      <c r="H52" s="385">
        <v>0</v>
      </c>
      <c r="I52" s="386" t="s">
        <v>125</v>
      </c>
      <c r="J52" s="387">
        <v>0</v>
      </c>
      <c r="K52" s="387">
        <v>0</v>
      </c>
      <c r="L52" s="388" t="s">
        <v>125</v>
      </c>
      <c r="M52" s="389" t="s">
        <v>125</v>
      </c>
      <c r="N52" s="389" t="s">
        <v>125</v>
      </c>
      <c r="O52" s="390" t="s">
        <v>125</v>
      </c>
      <c r="P52" s="379" t="s">
        <v>646</v>
      </c>
    </row>
    <row r="53" spans="1:16" x14ac:dyDescent="0.35">
      <c r="A53" s="375" t="s">
        <v>49</v>
      </c>
      <c r="B53" s="378" t="s">
        <v>160</v>
      </c>
      <c r="C53" s="378" t="s">
        <v>26</v>
      </c>
      <c r="D53" s="391">
        <v>1908</v>
      </c>
      <c r="E53" s="391">
        <v>1908</v>
      </c>
      <c r="F53" s="392">
        <v>0</v>
      </c>
      <c r="G53" s="393">
        <v>0</v>
      </c>
      <c r="H53" s="393">
        <v>0</v>
      </c>
      <c r="I53" s="394" t="s">
        <v>125</v>
      </c>
      <c r="J53" s="395">
        <v>0</v>
      </c>
      <c r="K53" s="395">
        <v>0</v>
      </c>
      <c r="L53" s="396" t="s">
        <v>125</v>
      </c>
      <c r="M53" s="397" t="s">
        <v>125</v>
      </c>
      <c r="N53" s="397" t="s">
        <v>125</v>
      </c>
      <c r="O53" s="398" t="s">
        <v>125</v>
      </c>
      <c r="P53" s="380" t="s">
        <v>646</v>
      </c>
    </row>
    <row r="54" spans="1:16" x14ac:dyDescent="0.35">
      <c r="A54" s="374" t="s">
        <v>49</v>
      </c>
      <c r="B54" s="377" t="s">
        <v>161</v>
      </c>
      <c r="C54" s="377" t="s">
        <v>26</v>
      </c>
      <c r="D54" s="383">
        <v>1965</v>
      </c>
      <c r="E54" s="383">
        <v>1965</v>
      </c>
      <c r="F54" s="384">
        <v>0</v>
      </c>
      <c r="G54" s="385">
        <v>0</v>
      </c>
      <c r="H54" s="385">
        <v>0</v>
      </c>
      <c r="I54" s="386" t="s">
        <v>125</v>
      </c>
      <c r="J54" s="387">
        <v>0</v>
      </c>
      <c r="K54" s="387">
        <v>0</v>
      </c>
      <c r="L54" s="388" t="s">
        <v>125</v>
      </c>
      <c r="M54" s="389" t="s">
        <v>125</v>
      </c>
      <c r="N54" s="389" t="s">
        <v>125</v>
      </c>
      <c r="O54" s="390" t="s">
        <v>125</v>
      </c>
      <c r="P54" s="379" t="s">
        <v>646</v>
      </c>
    </row>
    <row r="55" spans="1:16" x14ac:dyDescent="0.35">
      <c r="A55" s="375" t="s">
        <v>49</v>
      </c>
      <c r="B55" s="378" t="s">
        <v>162</v>
      </c>
      <c r="C55" s="378" t="s">
        <v>26</v>
      </c>
      <c r="D55" s="391">
        <v>3855</v>
      </c>
      <c r="E55" s="391">
        <v>3855</v>
      </c>
      <c r="F55" s="392">
        <v>0</v>
      </c>
      <c r="G55" s="393">
        <v>0</v>
      </c>
      <c r="H55" s="393">
        <v>0</v>
      </c>
      <c r="I55" s="394" t="s">
        <v>125</v>
      </c>
      <c r="J55" s="395">
        <v>0</v>
      </c>
      <c r="K55" s="395">
        <v>0</v>
      </c>
      <c r="L55" s="396" t="s">
        <v>125</v>
      </c>
      <c r="M55" s="397" t="s">
        <v>125</v>
      </c>
      <c r="N55" s="397" t="s">
        <v>125</v>
      </c>
      <c r="O55" s="398" t="s">
        <v>125</v>
      </c>
      <c r="P55" s="380" t="s">
        <v>646</v>
      </c>
    </row>
    <row r="56" spans="1:16" x14ac:dyDescent="0.35">
      <c r="A56" s="374" t="s">
        <v>49</v>
      </c>
      <c r="B56" s="377" t="s">
        <v>163</v>
      </c>
      <c r="C56" s="377" t="s">
        <v>26</v>
      </c>
      <c r="D56" s="383">
        <v>1670</v>
      </c>
      <c r="E56" s="383">
        <v>1670</v>
      </c>
      <c r="F56" s="384">
        <v>0</v>
      </c>
      <c r="G56" s="385">
        <v>0</v>
      </c>
      <c r="H56" s="385">
        <v>0</v>
      </c>
      <c r="I56" s="386" t="s">
        <v>125</v>
      </c>
      <c r="J56" s="387">
        <v>0</v>
      </c>
      <c r="K56" s="387">
        <v>0</v>
      </c>
      <c r="L56" s="388" t="s">
        <v>125</v>
      </c>
      <c r="M56" s="389" t="s">
        <v>125</v>
      </c>
      <c r="N56" s="389" t="s">
        <v>125</v>
      </c>
      <c r="O56" s="390" t="s">
        <v>125</v>
      </c>
      <c r="P56" s="379" t="s">
        <v>646</v>
      </c>
    </row>
    <row r="57" spans="1:16" x14ac:dyDescent="0.35">
      <c r="A57" s="375" t="s">
        <v>49</v>
      </c>
      <c r="B57" s="378" t="s">
        <v>164</v>
      </c>
      <c r="C57" s="378" t="s">
        <v>26</v>
      </c>
      <c r="D57" s="391">
        <v>2256</v>
      </c>
      <c r="E57" s="391">
        <v>2256</v>
      </c>
      <c r="F57" s="392">
        <v>0</v>
      </c>
      <c r="G57" s="393">
        <v>0</v>
      </c>
      <c r="H57" s="393">
        <v>0</v>
      </c>
      <c r="I57" s="394" t="s">
        <v>125</v>
      </c>
      <c r="J57" s="395">
        <v>0</v>
      </c>
      <c r="K57" s="395">
        <v>0</v>
      </c>
      <c r="L57" s="396" t="s">
        <v>125</v>
      </c>
      <c r="M57" s="397" t="s">
        <v>125</v>
      </c>
      <c r="N57" s="397" t="s">
        <v>125</v>
      </c>
      <c r="O57" s="398" t="s">
        <v>125</v>
      </c>
      <c r="P57" s="380" t="s">
        <v>646</v>
      </c>
    </row>
    <row r="58" spans="1:16" x14ac:dyDescent="0.35">
      <c r="A58" s="374" t="s">
        <v>49</v>
      </c>
      <c r="B58" s="377" t="s">
        <v>165</v>
      </c>
      <c r="C58" s="377" t="s">
        <v>26</v>
      </c>
      <c r="D58" s="383">
        <v>2508</v>
      </c>
      <c r="E58" s="383">
        <v>2508</v>
      </c>
      <c r="F58" s="384">
        <v>0</v>
      </c>
      <c r="G58" s="385">
        <v>0</v>
      </c>
      <c r="H58" s="385">
        <v>0</v>
      </c>
      <c r="I58" s="386" t="s">
        <v>125</v>
      </c>
      <c r="J58" s="387">
        <v>0</v>
      </c>
      <c r="K58" s="387">
        <v>0</v>
      </c>
      <c r="L58" s="388" t="s">
        <v>125</v>
      </c>
      <c r="M58" s="389" t="s">
        <v>125</v>
      </c>
      <c r="N58" s="389" t="s">
        <v>125</v>
      </c>
      <c r="O58" s="390" t="s">
        <v>125</v>
      </c>
      <c r="P58" s="379" t="s">
        <v>646</v>
      </c>
    </row>
    <row r="59" spans="1:16" x14ac:dyDescent="0.35">
      <c r="A59" s="375" t="s">
        <v>49</v>
      </c>
      <c r="B59" s="378" t="s">
        <v>166</v>
      </c>
      <c r="C59" s="378" t="s">
        <v>26</v>
      </c>
      <c r="D59" s="391">
        <v>3359</v>
      </c>
      <c r="E59" s="391">
        <v>3359</v>
      </c>
      <c r="F59" s="392">
        <v>0</v>
      </c>
      <c r="G59" s="393">
        <v>0</v>
      </c>
      <c r="H59" s="393">
        <v>0</v>
      </c>
      <c r="I59" s="394" t="s">
        <v>125</v>
      </c>
      <c r="J59" s="395">
        <v>0</v>
      </c>
      <c r="K59" s="395">
        <v>0</v>
      </c>
      <c r="L59" s="396" t="s">
        <v>125</v>
      </c>
      <c r="M59" s="397" t="s">
        <v>125</v>
      </c>
      <c r="N59" s="397" t="s">
        <v>125</v>
      </c>
      <c r="O59" s="398" t="s">
        <v>125</v>
      </c>
      <c r="P59" s="380" t="s">
        <v>646</v>
      </c>
    </row>
    <row r="60" spans="1:16" x14ac:dyDescent="0.35">
      <c r="A60" s="374" t="s">
        <v>49</v>
      </c>
      <c r="B60" s="377" t="s">
        <v>167</v>
      </c>
      <c r="C60" s="377" t="s">
        <v>26</v>
      </c>
      <c r="D60" s="383">
        <v>2917</v>
      </c>
      <c r="E60" s="383">
        <v>2917</v>
      </c>
      <c r="F60" s="384">
        <v>0</v>
      </c>
      <c r="G60" s="385">
        <v>0</v>
      </c>
      <c r="H60" s="385">
        <v>0</v>
      </c>
      <c r="I60" s="386" t="s">
        <v>125</v>
      </c>
      <c r="J60" s="387">
        <v>0</v>
      </c>
      <c r="K60" s="387">
        <v>0</v>
      </c>
      <c r="L60" s="388" t="s">
        <v>125</v>
      </c>
      <c r="M60" s="389" t="s">
        <v>125</v>
      </c>
      <c r="N60" s="389" t="s">
        <v>125</v>
      </c>
      <c r="O60" s="390" t="s">
        <v>125</v>
      </c>
      <c r="P60" s="379" t="s">
        <v>646</v>
      </c>
    </row>
    <row r="61" spans="1:16" x14ac:dyDescent="0.35">
      <c r="A61" s="375" t="s">
        <v>49</v>
      </c>
      <c r="B61" s="378" t="s">
        <v>168</v>
      </c>
      <c r="C61" s="378" t="s">
        <v>26</v>
      </c>
      <c r="D61" s="391">
        <v>2513</v>
      </c>
      <c r="E61" s="391">
        <v>2513</v>
      </c>
      <c r="F61" s="392">
        <v>0</v>
      </c>
      <c r="G61" s="393">
        <v>0</v>
      </c>
      <c r="H61" s="393">
        <v>0</v>
      </c>
      <c r="I61" s="394" t="s">
        <v>125</v>
      </c>
      <c r="J61" s="395">
        <v>0</v>
      </c>
      <c r="K61" s="395">
        <v>0</v>
      </c>
      <c r="L61" s="396" t="s">
        <v>125</v>
      </c>
      <c r="M61" s="397" t="s">
        <v>125</v>
      </c>
      <c r="N61" s="397" t="s">
        <v>125</v>
      </c>
      <c r="O61" s="398" t="s">
        <v>125</v>
      </c>
      <c r="P61" s="380" t="s">
        <v>646</v>
      </c>
    </row>
    <row r="62" spans="1:16" x14ac:dyDescent="0.35">
      <c r="A62" s="374" t="s">
        <v>49</v>
      </c>
      <c r="B62" s="377" t="s">
        <v>169</v>
      </c>
      <c r="C62" s="377" t="s">
        <v>26</v>
      </c>
      <c r="D62" s="383">
        <v>2608</v>
      </c>
      <c r="E62" s="383">
        <v>2608</v>
      </c>
      <c r="F62" s="384">
        <v>0</v>
      </c>
      <c r="G62" s="385">
        <v>0</v>
      </c>
      <c r="H62" s="385">
        <v>0</v>
      </c>
      <c r="I62" s="386" t="s">
        <v>125</v>
      </c>
      <c r="J62" s="387">
        <v>0</v>
      </c>
      <c r="K62" s="387">
        <v>0</v>
      </c>
      <c r="L62" s="388" t="s">
        <v>125</v>
      </c>
      <c r="M62" s="389" t="s">
        <v>125</v>
      </c>
      <c r="N62" s="389" t="s">
        <v>125</v>
      </c>
      <c r="O62" s="390" t="s">
        <v>125</v>
      </c>
      <c r="P62" s="379" t="s">
        <v>646</v>
      </c>
    </row>
    <row r="63" spans="1:16" x14ac:dyDescent="0.35">
      <c r="A63" s="375" t="s">
        <v>49</v>
      </c>
      <c r="B63" s="378" t="s">
        <v>170</v>
      </c>
      <c r="C63" s="378" t="s">
        <v>26</v>
      </c>
      <c r="D63" s="391">
        <v>2397</v>
      </c>
      <c r="E63" s="391">
        <v>2397</v>
      </c>
      <c r="F63" s="392">
        <v>0</v>
      </c>
      <c r="G63" s="393">
        <v>0</v>
      </c>
      <c r="H63" s="393">
        <v>0</v>
      </c>
      <c r="I63" s="394" t="s">
        <v>125</v>
      </c>
      <c r="J63" s="395">
        <v>0</v>
      </c>
      <c r="K63" s="395">
        <v>0</v>
      </c>
      <c r="L63" s="396" t="s">
        <v>125</v>
      </c>
      <c r="M63" s="397" t="s">
        <v>125</v>
      </c>
      <c r="N63" s="397" t="s">
        <v>125</v>
      </c>
      <c r="O63" s="398" t="s">
        <v>125</v>
      </c>
      <c r="P63" s="380" t="s">
        <v>646</v>
      </c>
    </row>
    <row r="64" spans="1:16" x14ac:dyDescent="0.35">
      <c r="A64" s="374" t="s">
        <v>49</v>
      </c>
      <c r="B64" s="377" t="s">
        <v>171</v>
      </c>
      <c r="C64" s="377" t="s">
        <v>26</v>
      </c>
      <c r="D64" s="383">
        <v>4061</v>
      </c>
      <c r="E64" s="383">
        <v>4061</v>
      </c>
      <c r="F64" s="384">
        <v>0</v>
      </c>
      <c r="G64" s="385">
        <v>0</v>
      </c>
      <c r="H64" s="385">
        <v>0</v>
      </c>
      <c r="I64" s="386" t="s">
        <v>125</v>
      </c>
      <c r="J64" s="387">
        <v>0</v>
      </c>
      <c r="K64" s="387">
        <v>0</v>
      </c>
      <c r="L64" s="388" t="s">
        <v>125</v>
      </c>
      <c r="M64" s="389" t="s">
        <v>125</v>
      </c>
      <c r="N64" s="389" t="s">
        <v>125</v>
      </c>
      <c r="O64" s="390" t="s">
        <v>125</v>
      </c>
      <c r="P64" s="379" t="s">
        <v>646</v>
      </c>
    </row>
    <row r="65" spans="1:16" x14ac:dyDescent="0.35">
      <c r="A65" s="375" t="s">
        <v>49</v>
      </c>
      <c r="B65" s="378" t="s">
        <v>172</v>
      </c>
      <c r="C65" s="378" t="s">
        <v>26</v>
      </c>
      <c r="D65" s="391">
        <v>3654</v>
      </c>
      <c r="E65" s="391">
        <v>3654</v>
      </c>
      <c r="F65" s="392">
        <v>0</v>
      </c>
      <c r="G65" s="393">
        <v>0</v>
      </c>
      <c r="H65" s="393">
        <v>0</v>
      </c>
      <c r="I65" s="394" t="s">
        <v>125</v>
      </c>
      <c r="J65" s="395">
        <v>0</v>
      </c>
      <c r="K65" s="395">
        <v>0</v>
      </c>
      <c r="L65" s="396" t="s">
        <v>125</v>
      </c>
      <c r="M65" s="397" t="s">
        <v>125</v>
      </c>
      <c r="N65" s="397" t="s">
        <v>125</v>
      </c>
      <c r="O65" s="398" t="s">
        <v>125</v>
      </c>
      <c r="P65" s="380" t="s">
        <v>646</v>
      </c>
    </row>
    <row r="66" spans="1:16" x14ac:dyDescent="0.35">
      <c r="A66" s="374" t="s">
        <v>49</v>
      </c>
      <c r="B66" s="377" t="s">
        <v>173</v>
      </c>
      <c r="C66" s="377" t="s">
        <v>26</v>
      </c>
      <c r="D66" s="383">
        <v>1930</v>
      </c>
      <c r="E66" s="383">
        <v>1930</v>
      </c>
      <c r="F66" s="384">
        <v>0</v>
      </c>
      <c r="G66" s="385">
        <v>0</v>
      </c>
      <c r="H66" s="385">
        <v>0</v>
      </c>
      <c r="I66" s="386" t="s">
        <v>125</v>
      </c>
      <c r="J66" s="387">
        <v>0</v>
      </c>
      <c r="K66" s="387">
        <v>0</v>
      </c>
      <c r="L66" s="388" t="s">
        <v>125</v>
      </c>
      <c r="M66" s="389" t="s">
        <v>125</v>
      </c>
      <c r="N66" s="389" t="s">
        <v>125</v>
      </c>
      <c r="O66" s="390" t="s">
        <v>125</v>
      </c>
      <c r="P66" s="379" t="s">
        <v>646</v>
      </c>
    </row>
    <row r="67" spans="1:16" x14ac:dyDescent="0.35">
      <c r="A67" s="375" t="s">
        <v>49</v>
      </c>
      <c r="B67" s="378" t="s">
        <v>174</v>
      </c>
      <c r="C67" s="378" t="s">
        <v>26</v>
      </c>
      <c r="D67" s="391">
        <v>2425</v>
      </c>
      <c r="E67" s="391">
        <v>2425</v>
      </c>
      <c r="F67" s="392">
        <v>0</v>
      </c>
      <c r="G67" s="393">
        <v>0</v>
      </c>
      <c r="H67" s="393">
        <v>0</v>
      </c>
      <c r="I67" s="394" t="s">
        <v>125</v>
      </c>
      <c r="J67" s="395">
        <v>0</v>
      </c>
      <c r="K67" s="395">
        <v>0</v>
      </c>
      <c r="L67" s="396" t="s">
        <v>125</v>
      </c>
      <c r="M67" s="397" t="s">
        <v>125</v>
      </c>
      <c r="N67" s="397" t="s">
        <v>125</v>
      </c>
      <c r="O67" s="398" t="s">
        <v>125</v>
      </c>
      <c r="P67" s="380" t="s">
        <v>646</v>
      </c>
    </row>
    <row r="68" spans="1:16" x14ac:dyDescent="0.35">
      <c r="A68" s="374" t="s">
        <v>49</v>
      </c>
      <c r="B68" s="377" t="s">
        <v>175</v>
      </c>
      <c r="C68" s="377" t="s">
        <v>26</v>
      </c>
      <c r="D68" s="383">
        <v>2042</v>
      </c>
      <c r="E68" s="383">
        <v>2042</v>
      </c>
      <c r="F68" s="384">
        <v>0</v>
      </c>
      <c r="G68" s="385">
        <v>0</v>
      </c>
      <c r="H68" s="385">
        <v>0</v>
      </c>
      <c r="I68" s="386" t="s">
        <v>125</v>
      </c>
      <c r="J68" s="387">
        <v>0</v>
      </c>
      <c r="K68" s="387">
        <v>0</v>
      </c>
      <c r="L68" s="388" t="s">
        <v>125</v>
      </c>
      <c r="M68" s="389" t="s">
        <v>125</v>
      </c>
      <c r="N68" s="389" t="s">
        <v>125</v>
      </c>
      <c r="O68" s="390" t="s">
        <v>125</v>
      </c>
      <c r="P68" s="379" t="s">
        <v>646</v>
      </c>
    </row>
    <row r="69" spans="1:16" x14ac:dyDescent="0.35">
      <c r="A69" s="375" t="s">
        <v>49</v>
      </c>
      <c r="B69" s="378" t="s">
        <v>176</v>
      </c>
      <c r="C69" s="378" t="s">
        <v>26</v>
      </c>
      <c r="D69" s="391">
        <v>5871</v>
      </c>
      <c r="E69" s="391">
        <v>5871</v>
      </c>
      <c r="F69" s="392">
        <v>0</v>
      </c>
      <c r="G69" s="393">
        <v>0</v>
      </c>
      <c r="H69" s="393">
        <v>0</v>
      </c>
      <c r="I69" s="394" t="s">
        <v>125</v>
      </c>
      <c r="J69" s="395">
        <v>0</v>
      </c>
      <c r="K69" s="395">
        <v>0</v>
      </c>
      <c r="L69" s="396" t="s">
        <v>125</v>
      </c>
      <c r="M69" s="397" t="s">
        <v>125</v>
      </c>
      <c r="N69" s="397" t="s">
        <v>125</v>
      </c>
      <c r="O69" s="398" t="s">
        <v>125</v>
      </c>
      <c r="P69" s="380" t="s">
        <v>646</v>
      </c>
    </row>
    <row r="70" spans="1:16" x14ac:dyDescent="0.35">
      <c r="A70" s="374" t="s">
        <v>49</v>
      </c>
      <c r="B70" s="377" t="s">
        <v>177</v>
      </c>
      <c r="C70" s="377" t="s">
        <v>26</v>
      </c>
      <c r="D70" s="383">
        <v>4775</v>
      </c>
      <c r="E70" s="383">
        <v>4775</v>
      </c>
      <c r="F70" s="384">
        <v>0</v>
      </c>
      <c r="G70" s="385">
        <v>0</v>
      </c>
      <c r="H70" s="385">
        <v>0</v>
      </c>
      <c r="I70" s="386" t="s">
        <v>125</v>
      </c>
      <c r="J70" s="387">
        <v>0</v>
      </c>
      <c r="K70" s="387">
        <v>0</v>
      </c>
      <c r="L70" s="388" t="s">
        <v>125</v>
      </c>
      <c r="M70" s="389" t="s">
        <v>125</v>
      </c>
      <c r="N70" s="389" t="s">
        <v>125</v>
      </c>
      <c r="O70" s="390" t="s">
        <v>125</v>
      </c>
      <c r="P70" s="379" t="s">
        <v>646</v>
      </c>
    </row>
    <row r="71" spans="1:16" x14ac:dyDescent="0.35">
      <c r="A71" s="375" t="s">
        <v>49</v>
      </c>
      <c r="B71" s="378" t="s">
        <v>178</v>
      </c>
      <c r="C71" s="378" t="s">
        <v>26</v>
      </c>
      <c r="D71" s="391">
        <v>13412</v>
      </c>
      <c r="E71" s="391">
        <v>13412</v>
      </c>
      <c r="F71" s="392">
        <v>0</v>
      </c>
      <c r="G71" s="393">
        <v>0</v>
      </c>
      <c r="H71" s="393">
        <v>0</v>
      </c>
      <c r="I71" s="394" t="s">
        <v>125</v>
      </c>
      <c r="J71" s="395">
        <v>0</v>
      </c>
      <c r="K71" s="395">
        <v>0</v>
      </c>
      <c r="L71" s="396" t="s">
        <v>125</v>
      </c>
      <c r="M71" s="397" t="s">
        <v>125</v>
      </c>
      <c r="N71" s="397" t="s">
        <v>125</v>
      </c>
      <c r="O71" s="398" t="s">
        <v>125</v>
      </c>
      <c r="P71" s="380" t="s">
        <v>646</v>
      </c>
    </row>
    <row r="72" spans="1:16" x14ac:dyDescent="0.35">
      <c r="A72" s="374" t="s">
        <v>49</v>
      </c>
      <c r="B72" s="377" t="s">
        <v>150</v>
      </c>
      <c r="C72" s="377" t="s">
        <v>26</v>
      </c>
      <c r="D72" s="383">
        <v>1</v>
      </c>
      <c r="E72" s="383">
        <v>1</v>
      </c>
      <c r="F72" s="384">
        <v>0</v>
      </c>
      <c r="G72" s="385">
        <v>0</v>
      </c>
      <c r="H72" s="385">
        <v>0</v>
      </c>
      <c r="I72" s="386" t="s">
        <v>125</v>
      </c>
      <c r="J72" s="387">
        <v>0</v>
      </c>
      <c r="K72" s="387">
        <v>0</v>
      </c>
      <c r="L72" s="388" t="s">
        <v>125</v>
      </c>
      <c r="M72" s="389" t="s">
        <v>125</v>
      </c>
      <c r="N72" s="389" t="s">
        <v>125</v>
      </c>
      <c r="O72" s="390" t="s">
        <v>125</v>
      </c>
      <c r="P72" s="379" t="s">
        <v>646</v>
      </c>
    </row>
    <row r="73" spans="1:16" x14ac:dyDescent="0.35">
      <c r="A73" s="375" t="s">
        <v>49</v>
      </c>
      <c r="B73" s="378" t="s">
        <v>151</v>
      </c>
      <c r="C73" s="378" t="s">
        <v>26</v>
      </c>
      <c r="D73" s="391">
        <v>0</v>
      </c>
      <c r="E73" s="391">
        <v>0</v>
      </c>
      <c r="F73" s="392" t="s">
        <v>125</v>
      </c>
      <c r="G73" s="393">
        <v>0</v>
      </c>
      <c r="H73" s="393">
        <v>0</v>
      </c>
      <c r="I73" s="394" t="s">
        <v>125</v>
      </c>
      <c r="J73" s="395">
        <v>0</v>
      </c>
      <c r="K73" s="395">
        <v>0</v>
      </c>
      <c r="L73" s="396" t="s">
        <v>125</v>
      </c>
      <c r="M73" s="397" t="s">
        <v>125</v>
      </c>
      <c r="N73" s="397" t="s">
        <v>125</v>
      </c>
      <c r="O73" s="398" t="s">
        <v>125</v>
      </c>
      <c r="P73" s="380" t="s">
        <v>646</v>
      </c>
    </row>
    <row r="74" spans="1:16" x14ac:dyDescent="0.35">
      <c r="A74" s="374" t="s">
        <v>49</v>
      </c>
      <c r="B74" s="377" t="s">
        <v>152</v>
      </c>
      <c r="C74" s="377" t="s">
        <v>26</v>
      </c>
      <c r="D74" s="383">
        <v>1</v>
      </c>
      <c r="E74" s="383">
        <v>1</v>
      </c>
      <c r="F74" s="384">
        <v>0</v>
      </c>
      <c r="G74" s="385">
        <v>0</v>
      </c>
      <c r="H74" s="385">
        <v>0</v>
      </c>
      <c r="I74" s="386" t="s">
        <v>125</v>
      </c>
      <c r="J74" s="387">
        <v>0</v>
      </c>
      <c r="K74" s="387">
        <v>0</v>
      </c>
      <c r="L74" s="388" t="s">
        <v>125</v>
      </c>
      <c r="M74" s="389" t="s">
        <v>125</v>
      </c>
      <c r="N74" s="389" t="s">
        <v>125</v>
      </c>
      <c r="O74" s="390" t="s">
        <v>125</v>
      </c>
      <c r="P74" s="379" t="s">
        <v>646</v>
      </c>
    </row>
    <row r="75" spans="1:16" x14ac:dyDescent="0.35">
      <c r="A75" s="375" t="s">
        <v>12</v>
      </c>
      <c r="B75" s="378" t="s">
        <v>27</v>
      </c>
      <c r="C75" s="378" t="s">
        <v>25</v>
      </c>
      <c r="D75" s="391">
        <v>2.3607963999999999</v>
      </c>
      <c r="E75" s="391">
        <v>2.2101760000000001</v>
      </c>
      <c r="F75" s="392">
        <v>6.8148599930503165E-2</v>
      </c>
      <c r="G75" s="393">
        <v>0</v>
      </c>
      <c r="H75" s="393">
        <v>0</v>
      </c>
      <c r="I75" s="394" t="s">
        <v>125</v>
      </c>
      <c r="J75" s="395">
        <v>0.74967450000000002</v>
      </c>
      <c r="K75" s="395">
        <v>0.73522279999999995</v>
      </c>
      <c r="L75" s="396">
        <v>1.9656218495944452E-2</v>
      </c>
      <c r="M75" s="397" t="s">
        <v>125</v>
      </c>
      <c r="N75" s="397" t="s">
        <v>125</v>
      </c>
      <c r="O75" s="398" t="s">
        <v>125</v>
      </c>
      <c r="P75" s="380" t="s">
        <v>645</v>
      </c>
    </row>
    <row r="76" spans="1:16" x14ac:dyDescent="0.35">
      <c r="A76" s="374" t="s">
        <v>12</v>
      </c>
      <c r="B76" s="377" t="s">
        <v>28</v>
      </c>
      <c r="C76" s="377" t="s">
        <v>25</v>
      </c>
      <c r="D76" s="383">
        <v>2.6769343999999999</v>
      </c>
      <c r="E76" s="383">
        <v>2.4875411999999999</v>
      </c>
      <c r="F76" s="384">
        <v>7.6136708811094286E-2</v>
      </c>
      <c r="G76" s="385">
        <v>0</v>
      </c>
      <c r="H76" s="385">
        <v>0</v>
      </c>
      <c r="I76" s="386" t="s">
        <v>125</v>
      </c>
      <c r="J76" s="387">
        <v>0.83390819999999999</v>
      </c>
      <c r="K76" s="387">
        <v>0.84432660000000004</v>
      </c>
      <c r="L76" s="388">
        <v>-1.2339300929285006E-2</v>
      </c>
      <c r="M76" s="389" t="s">
        <v>125</v>
      </c>
      <c r="N76" s="389" t="s">
        <v>125</v>
      </c>
      <c r="O76" s="390" t="s">
        <v>125</v>
      </c>
      <c r="P76" s="379" t="s">
        <v>645</v>
      </c>
    </row>
    <row r="77" spans="1:16" x14ac:dyDescent="0.35">
      <c r="A77" s="375" t="s">
        <v>12</v>
      </c>
      <c r="B77" s="378" t="s">
        <v>29</v>
      </c>
      <c r="C77" s="378" t="s">
        <v>25</v>
      </c>
      <c r="D77" s="391">
        <v>1.8621757999999999</v>
      </c>
      <c r="E77" s="391">
        <v>1.8624645</v>
      </c>
      <c r="F77" s="392">
        <v>-1.5500966595606553E-4</v>
      </c>
      <c r="G77" s="393">
        <v>0</v>
      </c>
      <c r="H77" s="393">
        <v>0</v>
      </c>
      <c r="I77" s="394" t="s">
        <v>125</v>
      </c>
      <c r="J77" s="395">
        <v>0.64058910000000002</v>
      </c>
      <c r="K77" s="395">
        <v>0.39212609999999998</v>
      </c>
      <c r="L77" s="396">
        <v>0.63363035513320853</v>
      </c>
      <c r="M77" s="397" t="s">
        <v>125</v>
      </c>
      <c r="N77" s="397" t="s">
        <v>125</v>
      </c>
      <c r="O77" s="398" t="s">
        <v>125</v>
      </c>
      <c r="P77" s="380" t="s">
        <v>645</v>
      </c>
    </row>
    <row r="78" spans="1:16" x14ac:dyDescent="0.35">
      <c r="A78" s="374" t="s">
        <v>12</v>
      </c>
      <c r="B78" s="377" t="s">
        <v>30</v>
      </c>
      <c r="C78" s="377" t="s">
        <v>26</v>
      </c>
      <c r="D78" s="383">
        <v>2.6382973999999999</v>
      </c>
      <c r="E78" s="383">
        <v>1.2000409999999999</v>
      </c>
      <c r="F78" s="384">
        <v>1.1985060510432561</v>
      </c>
      <c r="G78" s="385">
        <v>0</v>
      </c>
      <c r="H78" s="385">
        <v>0</v>
      </c>
      <c r="I78" s="386" t="s">
        <v>125</v>
      </c>
      <c r="J78" s="387">
        <v>0.94174139999999995</v>
      </c>
      <c r="K78" s="387">
        <v>0.93055270000000001</v>
      </c>
      <c r="L78" s="388">
        <v>1.2023714508592517E-2</v>
      </c>
      <c r="M78" s="389" t="s">
        <v>125</v>
      </c>
      <c r="N78" s="389" t="s">
        <v>125</v>
      </c>
      <c r="O78" s="390" t="s">
        <v>125</v>
      </c>
      <c r="P78" s="379" t="s">
        <v>645</v>
      </c>
    </row>
    <row r="79" spans="1:16" x14ac:dyDescent="0.35">
      <c r="A79" s="375" t="s">
        <v>12</v>
      </c>
      <c r="B79" s="378" t="s">
        <v>476</v>
      </c>
      <c r="C79" s="378" t="s">
        <v>24</v>
      </c>
      <c r="D79" s="391">
        <v>0</v>
      </c>
      <c r="E79" s="391">
        <v>0</v>
      </c>
      <c r="F79" s="392" t="s">
        <v>125</v>
      </c>
      <c r="G79" s="393">
        <v>0.37158449999999998</v>
      </c>
      <c r="H79" s="393">
        <v>0.33655000000000002</v>
      </c>
      <c r="I79" s="394">
        <v>0.10409894517902234</v>
      </c>
      <c r="J79" s="395">
        <v>5.5327899999999999E-2</v>
      </c>
      <c r="K79" s="395">
        <v>8.029E-2</v>
      </c>
      <c r="L79" s="396">
        <v>-0.310899240254079</v>
      </c>
      <c r="M79" s="397" t="s">
        <v>125</v>
      </c>
      <c r="N79" s="397" t="s">
        <v>125</v>
      </c>
      <c r="O79" s="398" t="s">
        <v>125</v>
      </c>
      <c r="P79" s="380" t="s">
        <v>644</v>
      </c>
    </row>
    <row r="80" spans="1:16" x14ac:dyDescent="0.35">
      <c r="A80" s="374" t="s">
        <v>18</v>
      </c>
      <c r="B80" s="377" t="s">
        <v>426</v>
      </c>
      <c r="C80" s="377" t="s">
        <v>34</v>
      </c>
      <c r="D80" s="383">
        <v>0</v>
      </c>
      <c r="E80" s="383">
        <v>0</v>
      </c>
      <c r="F80" s="384" t="s">
        <v>125</v>
      </c>
      <c r="G80" s="385">
        <v>0</v>
      </c>
      <c r="H80" s="385">
        <v>0</v>
      </c>
      <c r="I80" s="386" t="s">
        <v>125</v>
      </c>
      <c r="J80" s="387">
        <v>0.16417570000000001</v>
      </c>
      <c r="K80" s="387">
        <v>0.16600000000000001</v>
      </c>
      <c r="L80" s="388">
        <v>-1.0989759036144584E-2</v>
      </c>
      <c r="M80" s="389" t="s">
        <v>125</v>
      </c>
      <c r="N80" s="389" t="s">
        <v>125</v>
      </c>
      <c r="O80" s="390" t="s">
        <v>125</v>
      </c>
      <c r="P80" s="379" t="s">
        <v>647</v>
      </c>
    </row>
    <row r="81" spans="1:16" x14ac:dyDescent="0.35">
      <c r="A81" s="375" t="s">
        <v>18</v>
      </c>
      <c r="B81" s="378" t="s">
        <v>427</v>
      </c>
      <c r="C81" s="378" t="s">
        <v>34</v>
      </c>
      <c r="D81" s="391">
        <v>0</v>
      </c>
      <c r="E81" s="391" t="s">
        <v>125</v>
      </c>
      <c r="F81" s="392" t="s">
        <v>125</v>
      </c>
      <c r="G81" s="393">
        <v>0</v>
      </c>
      <c r="H81" s="393" t="s">
        <v>125</v>
      </c>
      <c r="I81" s="394" t="s">
        <v>125</v>
      </c>
      <c r="J81" s="395">
        <v>0.16970469999999999</v>
      </c>
      <c r="K81" s="395" t="s">
        <v>125</v>
      </c>
      <c r="L81" s="396" t="s">
        <v>125</v>
      </c>
      <c r="M81" s="397" t="s">
        <v>125</v>
      </c>
      <c r="N81" s="397" t="s">
        <v>125</v>
      </c>
      <c r="O81" s="398" t="s">
        <v>125</v>
      </c>
      <c r="P81" s="380" t="s">
        <v>377</v>
      </c>
    </row>
    <row r="82" spans="1:16" x14ac:dyDescent="0.35">
      <c r="A82" s="374" t="s">
        <v>18</v>
      </c>
      <c r="B82" s="377" t="s">
        <v>428</v>
      </c>
      <c r="C82" s="377" t="s">
        <v>34</v>
      </c>
      <c r="D82" s="383">
        <v>0</v>
      </c>
      <c r="E82" s="383" t="s">
        <v>125</v>
      </c>
      <c r="F82" s="384" t="s">
        <v>125</v>
      </c>
      <c r="G82" s="385">
        <v>0</v>
      </c>
      <c r="H82" s="385" t="s">
        <v>125</v>
      </c>
      <c r="I82" s="386" t="s">
        <v>125</v>
      </c>
      <c r="J82" s="387">
        <v>6.9548399999999996E-2</v>
      </c>
      <c r="K82" s="387" t="s">
        <v>125</v>
      </c>
      <c r="L82" s="388" t="s">
        <v>125</v>
      </c>
      <c r="M82" s="389" t="s">
        <v>125</v>
      </c>
      <c r="N82" s="389" t="s">
        <v>125</v>
      </c>
      <c r="O82" s="390" t="s">
        <v>125</v>
      </c>
      <c r="P82" s="379" t="s">
        <v>377</v>
      </c>
    </row>
    <row r="83" spans="1:16" x14ac:dyDescent="0.35">
      <c r="A83" s="375" t="s">
        <v>18</v>
      </c>
      <c r="B83" s="378" t="s">
        <v>32</v>
      </c>
      <c r="C83" s="378" t="s">
        <v>34</v>
      </c>
      <c r="D83" s="391">
        <v>0</v>
      </c>
      <c r="E83" s="391">
        <v>0</v>
      </c>
      <c r="F83" s="392" t="s">
        <v>125</v>
      </c>
      <c r="G83" s="393">
        <v>0</v>
      </c>
      <c r="H83" s="393">
        <v>0</v>
      </c>
      <c r="I83" s="394" t="s">
        <v>125</v>
      </c>
      <c r="J83" s="395">
        <v>5.9676199999999999E-2</v>
      </c>
      <c r="K83" s="395">
        <v>7.1333300000000002E-2</v>
      </c>
      <c r="L83" s="396">
        <v>-0.1634173660828814</v>
      </c>
      <c r="M83" s="397" t="s">
        <v>125</v>
      </c>
      <c r="N83" s="397" t="s">
        <v>125</v>
      </c>
      <c r="O83" s="398" t="s">
        <v>125</v>
      </c>
      <c r="P83" s="380" t="s">
        <v>644</v>
      </c>
    </row>
    <row r="84" spans="1:16" x14ac:dyDescent="0.35">
      <c r="A84" s="374" t="s">
        <v>18</v>
      </c>
      <c r="B84" s="377" t="s">
        <v>31</v>
      </c>
      <c r="C84" s="377" t="s">
        <v>34</v>
      </c>
      <c r="D84" s="383">
        <v>0</v>
      </c>
      <c r="E84" s="383">
        <v>0</v>
      </c>
      <c r="F84" s="384" t="s">
        <v>125</v>
      </c>
      <c r="G84" s="385">
        <v>0</v>
      </c>
      <c r="H84" s="385">
        <v>0</v>
      </c>
      <c r="I84" s="386" t="s">
        <v>125</v>
      </c>
      <c r="J84" s="387">
        <v>2.99741E-2</v>
      </c>
      <c r="K84" s="387">
        <v>3.1E-2</v>
      </c>
      <c r="L84" s="388">
        <v>-3.3093548387096765E-2</v>
      </c>
      <c r="M84" s="389" t="s">
        <v>125</v>
      </c>
      <c r="N84" s="389" t="s">
        <v>125</v>
      </c>
      <c r="O84" s="390" t="s">
        <v>125</v>
      </c>
      <c r="P84" s="379" t="s">
        <v>644</v>
      </c>
    </row>
    <row r="85" spans="1:16" x14ac:dyDescent="0.35">
      <c r="A85" s="375" t="s">
        <v>18</v>
      </c>
      <c r="B85" s="378" t="s">
        <v>33</v>
      </c>
      <c r="C85" s="378" t="s">
        <v>34</v>
      </c>
      <c r="D85" s="391">
        <v>0</v>
      </c>
      <c r="E85" s="391">
        <v>0</v>
      </c>
      <c r="F85" s="392" t="s">
        <v>125</v>
      </c>
      <c r="G85" s="393">
        <v>0</v>
      </c>
      <c r="H85" s="393">
        <v>0</v>
      </c>
      <c r="I85" s="394" t="s">
        <v>125</v>
      </c>
      <c r="J85" s="395">
        <v>2.5660700000000002E-2</v>
      </c>
      <c r="K85" s="395">
        <v>3.1E-2</v>
      </c>
      <c r="L85" s="396">
        <v>-0.17223548387096768</v>
      </c>
      <c r="M85" s="397" t="s">
        <v>125</v>
      </c>
      <c r="N85" s="397" t="s">
        <v>125</v>
      </c>
      <c r="O85" s="398" t="s">
        <v>125</v>
      </c>
      <c r="P85" s="380" t="s">
        <v>644</v>
      </c>
    </row>
    <row r="86" spans="1:16" x14ac:dyDescent="0.35">
      <c r="A86" s="374" t="s">
        <v>18</v>
      </c>
      <c r="B86" s="377" t="s">
        <v>474</v>
      </c>
      <c r="C86" s="377" t="s">
        <v>34</v>
      </c>
      <c r="D86" s="383">
        <v>0</v>
      </c>
      <c r="E86" s="383">
        <v>0</v>
      </c>
      <c r="F86" s="384" t="s">
        <v>125</v>
      </c>
      <c r="G86" s="385">
        <v>0</v>
      </c>
      <c r="H86" s="385">
        <v>0</v>
      </c>
      <c r="I86" s="386" t="s">
        <v>125</v>
      </c>
      <c r="J86" s="387">
        <v>0.16902</v>
      </c>
      <c r="K86" s="387">
        <v>0.16098000000000001</v>
      </c>
      <c r="L86" s="388">
        <v>4.9944092433842659E-2</v>
      </c>
      <c r="M86" s="389" t="s">
        <v>125</v>
      </c>
      <c r="N86" s="389" t="s">
        <v>125</v>
      </c>
      <c r="O86" s="390" t="s">
        <v>125</v>
      </c>
      <c r="P86" s="379" t="s">
        <v>648</v>
      </c>
    </row>
    <row r="87" spans="1:16" x14ac:dyDescent="0.35">
      <c r="A87" s="375" t="s">
        <v>18</v>
      </c>
      <c r="B87" s="378" t="s">
        <v>477</v>
      </c>
      <c r="C87" s="378" t="s">
        <v>34</v>
      </c>
      <c r="D87" s="391">
        <v>0</v>
      </c>
      <c r="E87" s="391">
        <v>0</v>
      </c>
      <c r="F87" s="392" t="s">
        <v>125</v>
      </c>
      <c r="G87" s="393">
        <v>0</v>
      </c>
      <c r="H87" s="393">
        <v>0</v>
      </c>
      <c r="I87" s="394" t="s">
        <v>125</v>
      </c>
      <c r="J87" s="395">
        <v>9.8449999999999996E-2</v>
      </c>
      <c r="K87" s="395">
        <v>0.10974</v>
      </c>
      <c r="L87" s="396">
        <v>-0.10287953344268277</v>
      </c>
      <c r="M87" s="397" t="s">
        <v>125</v>
      </c>
      <c r="N87" s="397" t="s">
        <v>125</v>
      </c>
      <c r="O87" s="398" t="s">
        <v>125</v>
      </c>
      <c r="P87" s="380" t="s">
        <v>649</v>
      </c>
    </row>
    <row r="88" spans="1:16" x14ac:dyDescent="0.35">
      <c r="A88" s="374" t="s">
        <v>18</v>
      </c>
      <c r="B88" s="377" t="s">
        <v>479</v>
      </c>
      <c r="C88" s="377" t="s">
        <v>34</v>
      </c>
      <c r="D88" s="383">
        <v>0</v>
      </c>
      <c r="E88" s="383" t="s">
        <v>125</v>
      </c>
      <c r="F88" s="384" t="s">
        <v>125</v>
      </c>
      <c r="G88" s="385">
        <v>0</v>
      </c>
      <c r="H88" s="385" t="s">
        <v>125</v>
      </c>
      <c r="I88" s="386" t="s">
        <v>125</v>
      </c>
      <c r="J88" s="387">
        <v>9.6839999999999996E-2</v>
      </c>
      <c r="K88" s="387" t="s">
        <v>125</v>
      </c>
      <c r="L88" s="388" t="s">
        <v>125</v>
      </c>
      <c r="M88" s="389" t="s">
        <v>125</v>
      </c>
      <c r="N88" s="389" t="s">
        <v>125</v>
      </c>
      <c r="O88" s="390" t="s">
        <v>125</v>
      </c>
      <c r="P88" s="379" t="s">
        <v>377</v>
      </c>
    </row>
    <row r="89" spans="1:16" x14ac:dyDescent="0.35">
      <c r="A89" s="375" t="s">
        <v>18</v>
      </c>
      <c r="B89" s="378" t="s">
        <v>480</v>
      </c>
      <c r="C89" s="378" t="s">
        <v>34</v>
      </c>
      <c r="D89" s="391">
        <v>0</v>
      </c>
      <c r="E89" s="391" t="s">
        <v>125</v>
      </c>
      <c r="F89" s="392" t="s">
        <v>125</v>
      </c>
      <c r="G89" s="393">
        <v>0</v>
      </c>
      <c r="H89" s="393" t="s">
        <v>125</v>
      </c>
      <c r="I89" s="394" t="s">
        <v>125</v>
      </c>
      <c r="J89" s="395">
        <v>0.14524999999999999</v>
      </c>
      <c r="K89" s="395" t="s">
        <v>125</v>
      </c>
      <c r="L89" s="396" t="s">
        <v>125</v>
      </c>
      <c r="M89" s="397" t="s">
        <v>125</v>
      </c>
      <c r="N89" s="397" t="s">
        <v>125</v>
      </c>
      <c r="O89" s="398" t="s">
        <v>125</v>
      </c>
      <c r="P89" s="380" t="s">
        <v>377</v>
      </c>
    </row>
    <row r="90" spans="1:16" x14ac:dyDescent="0.35">
      <c r="A90" s="374" t="s">
        <v>18</v>
      </c>
      <c r="B90" s="377" t="s">
        <v>478</v>
      </c>
      <c r="C90" s="377" t="s">
        <v>34</v>
      </c>
      <c r="D90" s="383">
        <v>0</v>
      </c>
      <c r="E90" s="383">
        <v>0</v>
      </c>
      <c r="F90" s="384" t="s">
        <v>125</v>
      </c>
      <c r="G90" s="385">
        <v>0</v>
      </c>
      <c r="H90" s="385">
        <v>0</v>
      </c>
      <c r="I90" s="386" t="s">
        <v>125</v>
      </c>
      <c r="J90" s="387">
        <v>0.12256</v>
      </c>
      <c r="K90" s="387">
        <v>0.15423000000000001</v>
      </c>
      <c r="L90" s="388">
        <v>-0.20534267003825457</v>
      </c>
      <c r="M90" s="389" t="s">
        <v>125</v>
      </c>
      <c r="N90" s="389" t="s">
        <v>125</v>
      </c>
      <c r="O90" s="390" t="s">
        <v>125</v>
      </c>
      <c r="P90" s="379" t="s">
        <v>650</v>
      </c>
    </row>
    <row r="91" spans="1:16" x14ac:dyDescent="0.35">
      <c r="A91" s="375" t="s">
        <v>18</v>
      </c>
      <c r="B91" s="378" t="s">
        <v>481</v>
      </c>
      <c r="C91" s="378" t="s">
        <v>34</v>
      </c>
      <c r="D91" s="391">
        <v>0</v>
      </c>
      <c r="E91" s="391" t="s">
        <v>125</v>
      </c>
      <c r="F91" s="392" t="s">
        <v>125</v>
      </c>
      <c r="G91" s="393">
        <v>0</v>
      </c>
      <c r="H91" s="393" t="s">
        <v>125</v>
      </c>
      <c r="I91" s="394" t="s">
        <v>125</v>
      </c>
      <c r="J91" s="395">
        <v>9.3869999999999995E-2</v>
      </c>
      <c r="K91" s="395" t="s">
        <v>125</v>
      </c>
      <c r="L91" s="396" t="s">
        <v>125</v>
      </c>
      <c r="M91" s="397" t="s">
        <v>125</v>
      </c>
      <c r="N91" s="397" t="s">
        <v>125</v>
      </c>
      <c r="O91" s="398" t="s">
        <v>125</v>
      </c>
      <c r="P91" s="380" t="s">
        <v>377</v>
      </c>
    </row>
    <row r="92" spans="1:16" x14ac:dyDescent="0.35">
      <c r="A92" s="374" t="s">
        <v>18</v>
      </c>
      <c r="B92" s="377" t="s">
        <v>482</v>
      </c>
      <c r="C92" s="377" t="s">
        <v>34</v>
      </c>
      <c r="D92" s="383">
        <v>0</v>
      </c>
      <c r="E92" s="383" t="s">
        <v>125</v>
      </c>
      <c r="F92" s="384" t="s">
        <v>125</v>
      </c>
      <c r="G92" s="385">
        <v>0</v>
      </c>
      <c r="H92" s="385" t="s">
        <v>125</v>
      </c>
      <c r="I92" s="386" t="s">
        <v>125</v>
      </c>
      <c r="J92" s="387">
        <v>0.2722</v>
      </c>
      <c r="K92" s="387" t="s">
        <v>125</v>
      </c>
      <c r="L92" s="388" t="s">
        <v>125</v>
      </c>
      <c r="M92" s="389" t="s">
        <v>125</v>
      </c>
      <c r="N92" s="389" t="s">
        <v>125</v>
      </c>
      <c r="O92" s="390" t="s">
        <v>125</v>
      </c>
      <c r="P92" s="379" t="s">
        <v>377</v>
      </c>
    </row>
    <row r="93" spans="1:16" x14ac:dyDescent="0.35">
      <c r="A93" s="375" t="s">
        <v>18</v>
      </c>
      <c r="B93" s="378" t="s">
        <v>109</v>
      </c>
      <c r="C93" s="378" t="s">
        <v>180</v>
      </c>
      <c r="D93" s="391">
        <v>0</v>
      </c>
      <c r="E93" s="391">
        <v>0</v>
      </c>
      <c r="F93" s="392" t="s">
        <v>125</v>
      </c>
      <c r="G93" s="393">
        <v>0</v>
      </c>
      <c r="H93" s="393">
        <v>0</v>
      </c>
      <c r="I93" s="394" t="s">
        <v>125</v>
      </c>
      <c r="J93" s="395">
        <v>6.5810000000000004</v>
      </c>
      <c r="K93" s="395">
        <v>6.5810000000000004</v>
      </c>
      <c r="L93" s="396">
        <v>0</v>
      </c>
      <c r="M93" s="397" t="s">
        <v>125</v>
      </c>
      <c r="N93" s="397" t="s">
        <v>125</v>
      </c>
      <c r="O93" s="398" t="s">
        <v>125</v>
      </c>
      <c r="P93" s="380" t="s">
        <v>646</v>
      </c>
    </row>
    <row r="94" spans="1:16" x14ac:dyDescent="0.35">
      <c r="A94" s="374" t="s">
        <v>18</v>
      </c>
      <c r="B94" s="377" t="s">
        <v>110</v>
      </c>
      <c r="C94" s="377" t="s">
        <v>180</v>
      </c>
      <c r="D94" s="383">
        <v>0</v>
      </c>
      <c r="E94" s="383">
        <v>0</v>
      </c>
      <c r="F94" s="384" t="s">
        <v>125</v>
      </c>
      <c r="G94" s="385">
        <v>0</v>
      </c>
      <c r="H94" s="385">
        <v>0</v>
      </c>
      <c r="I94" s="386" t="s">
        <v>125</v>
      </c>
      <c r="J94" s="387">
        <v>19.023499999999999</v>
      </c>
      <c r="K94" s="387">
        <v>19.023499999999999</v>
      </c>
      <c r="L94" s="388">
        <v>0</v>
      </c>
      <c r="M94" s="389" t="s">
        <v>125</v>
      </c>
      <c r="N94" s="389" t="s">
        <v>125</v>
      </c>
      <c r="O94" s="390" t="s">
        <v>125</v>
      </c>
      <c r="P94" s="379" t="s">
        <v>646</v>
      </c>
    </row>
    <row r="95" spans="1:16" x14ac:dyDescent="0.35">
      <c r="A95" s="375" t="s">
        <v>18</v>
      </c>
      <c r="B95" s="378" t="s">
        <v>429</v>
      </c>
      <c r="C95" s="378" t="s">
        <v>180</v>
      </c>
      <c r="D95" s="391">
        <v>0</v>
      </c>
      <c r="E95" s="391" t="s">
        <v>125</v>
      </c>
      <c r="F95" s="392" t="s">
        <v>125</v>
      </c>
      <c r="G95" s="393">
        <v>0</v>
      </c>
      <c r="H95" s="393" t="s">
        <v>125</v>
      </c>
      <c r="I95" s="394" t="s">
        <v>125</v>
      </c>
      <c r="J95" s="395">
        <v>4.1500000000000004</v>
      </c>
      <c r="K95" s="395" t="s">
        <v>125</v>
      </c>
      <c r="L95" s="396" t="s">
        <v>125</v>
      </c>
      <c r="M95" s="397" t="s">
        <v>125</v>
      </c>
      <c r="N95" s="397" t="s">
        <v>125</v>
      </c>
      <c r="O95" s="398" t="s">
        <v>125</v>
      </c>
      <c r="P95" s="380" t="s">
        <v>377</v>
      </c>
    </row>
    <row r="96" spans="1:16" x14ac:dyDescent="0.35">
      <c r="A96" s="374" t="s">
        <v>18</v>
      </c>
      <c r="B96" s="377" t="s">
        <v>130</v>
      </c>
      <c r="C96" s="377" t="s">
        <v>63</v>
      </c>
      <c r="D96" s="383">
        <v>0</v>
      </c>
      <c r="E96" s="383">
        <v>0</v>
      </c>
      <c r="F96" s="384" t="s">
        <v>125</v>
      </c>
      <c r="G96" s="385">
        <v>0</v>
      </c>
      <c r="H96" s="385">
        <v>0</v>
      </c>
      <c r="I96" s="386" t="s">
        <v>125</v>
      </c>
      <c r="J96" s="387">
        <v>1</v>
      </c>
      <c r="K96" s="387">
        <v>1</v>
      </c>
      <c r="L96" s="388">
        <v>0</v>
      </c>
      <c r="M96" s="389" t="s">
        <v>125</v>
      </c>
      <c r="N96" s="389" t="s">
        <v>125</v>
      </c>
      <c r="O96" s="390" t="s">
        <v>125</v>
      </c>
      <c r="P96" s="379" t="s">
        <v>646</v>
      </c>
    </row>
    <row r="97" spans="1:16" x14ac:dyDescent="0.35">
      <c r="A97" s="375" t="s">
        <v>18</v>
      </c>
      <c r="B97" s="378" t="s">
        <v>651</v>
      </c>
      <c r="C97" s="378" t="s">
        <v>63</v>
      </c>
      <c r="D97" s="391">
        <v>0</v>
      </c>
      <c r="E97" s="391" t="s">
        <v>125</v>
      </c>
      <c r="F97" s="392" t="s">
        <v>125</v>
      </c>
      <c r="G97" s="393">
        <v>0</v>
      </c>
      <c r="H97" s="393" t="s">
        <v>125</v>
      </c>
      <c r="I97" s="394" t="s">
        <v>125</v>
      </c>
      <c r="J97" s="395">
        <v>1</v>
      </c>
      <c r="K97" s="395" t="s">
        <v>125</v>
      </c>
      <c r="L97" s="396" t="s">
        <v>125</v>
      </c>
      <c r="M97" s="397" t="s">
        <v>125</v>
      </c>
      <c r="N97" s="397" t="s">
        <v>125</v>
      </c>
      <c r="O97" s="398" t="s">
        <v>125</v>
      </c>
      <c r="P97" s="380" t="s">
        <v>377</v>
      </c>
    </row>
    <row r="98" spans="1:16" x14ac:dyDescent="0.35">
      <c r="A98" s="374" t="s">
        <v>70</v>
      </c>
      <c r="B98" s="377" t="s">
        <v>82</v>
      </c>
      <c r="C98" s="377" t="s">
        <v>34</v>
      </c>
      <c r="D98" s="383">
        <v>0</v>
      </c>
      <c r="E98" s="383">
        <v>0</v>
      </c>
      <c r="F98" s="384" t="s">
        <v>125</v>
      </c>
      <c r="G98" s="385">
        <v>0</v>
      </c>
      <c r="H98" s="385">
        <v>0</v>
      </c>
      <c r="I98" s="386" t="s">
        <v>125</v>
      </c>
      <c r="J98" s="387">
        <v>0</v>
      </c>
      <c r="K98" s="387">
        <v>0</v>
      </c>
      <c r="L98" s="388" t="s">
        <v>125</v>
      </c>
      <c r="M98" s="389" t="s">
        <v>125</v>
      </c>
      <c r="N98" s="389" t="s">
        <v>125</v>
      </c>
      <c r="O98" s="390" t="s">
        <v>125</v>
      </c>
      <c r="P98" s="379" t="s">
        <v>646</v>
      </c>
    </row>
    <row r="99" spans="1:16" x14ac:dyDescent="0.35">
      <c r="A99" s="375" t="s">
        <v>70</v>
      </c>
      <c r="B99" s="378" t="s">
        <v>32</v>
      </c>
      <c r="C99" s="378" t="s">
        <v>34</v>
      </c>
      <c r="D99" s="391">
        <v>0</v>
      </c>
      <c r="E99" s="391">
        <v>0</v>
      </c>
      <c r="F99" s="392" t="s">
        <v>125</v>
      </c>
      <c r="G99" s="393">
        <v>0</v>
      </c>
      <c r="H99" s="393">
        <v>0</v>
      </c>
      <c r="I99" s="394" t="s">
        <v>125</v>
      </c>
      <c r="J99" s="395">
        <v>5.9676199999999999E-2</v>
      </c>
      <c r="K99" s="395">
        <v>7.1333300000000002E-2</v>
      </c>
      <c r="L99" s="396">
        <v>-0.1634173660828814</v>
      </c>
      <c r="M99" s="397" t="s">
        <v>125</v>
      </c>
      <c r="N99" s="397" t="s">
        <v>125</v>
      </c>
      <c r="O99" s="398" t="s">
        <v>125</v>
      </c>
      <c r="P99" s="380" t="s">
        <v>644</v>
      </c>
    </row>
    <row r="100" spans="1:16" x14ac:dyDescent="0.35">
      <c r="A100" s="374" t="s">
        <v>70</v>
      </c>
      <c r="B100" s="377" t="s">
        <v>426</v>
      </c>
      <c r="C100" s="377" t="s">
        <v>34</v>
      </c>
      <c r="D100" s="383">
        <v>0</v>
      </c>
      <c r="E100" s="383">
        <v>0</v>
      </c>
      <c r="F100" s="384" t="s">
        <v>125</v>
      </c>
      <c r="G100" s="385">
        <v>0</v>
      </c>
      <c r="H100" s="385">
        <v>0</v>
      </c>
      <c r="I100" s="386" t="s">
        <v>125</v>
      </c>
      <c r="J100" s="387">
        <v>0.16417570000000001</v>
      </c>
      <c r="K100" s="387">
        <v>0.16600000000000001</v>
      </c>
      <c r="L100" s="388">
        <v>-1.0989759036144584E-2</v>
      </c>
      <c r="M100" s="389" t="s">
        <v>125</v>
      </c>
      <c r="N100" s="389" t="s">
        <v>125</v>
      </c>
      <c r="O100" s="390" t="s">
        <v>125</v>
      </c>
      <c r="P100" s="379" t="s">
        <v>647</v>
      </c>
    </row>
    <row r="101" spans="1:16" x14ac:dyDescent="0.35">
      <c r="A101" s="375" t="s">
        <v>70</v>
      </c>
      <c r="B101" s="378" t="s">
        <v>427</v>
      </c>
      <c r="C101" s="378" t="s">
        <v>34</v>
      </c>
      <c r="D101" s="391">
        <v>0</v>
      </c>
      <c r="E101" s="391" t="s">
        <v>125</v>
      </c>
      <c r="F101" s="392" t="s">
        <v>125</v>
      </c>
      <c r="G101" s="393">
        <v>0</v>
      </c>
      <c r="H101" s="393" t="s">
        <v>125</v>
      </c>
      <c r="I101" s="394" t="s">
        <v>125</v>
      </c>
      <c r="J101" s="395">
        <v>0.16970469999999999</v>
      </c>
      <c r="K101" s="395" t="s">
        <v>125</v>
      </c>
      <c r="L101" s="396" t="s">
        <v>125</v>
      </c>
      <c r="M101" s="397" t="s">
        <v>125</v>
      </c>
      <c r="N101" s="397" t="s">
        <v>125</v>
      </c>
      <c r="O101" s="398" t="s">
        <v>125</v>
      </c>
      <c r="P101" s="380" t="s">
        <v>377</v>
      </c>
    </row>
    <row r="102" spans="1:16" x14ac:dyDescent="0.35">
      <c r="A102" s="374" t="s">
        <v>70</v>
      </c>
      <c r="B102" s="377" t="s">
        <v>428</v>
      </c>
      <c r="C102" s="377" t="s">
        <v>34</v>
      </c>
      <c r="D102" s="383">
        <v>0</v>
      </c>
      <c r="E102" s="383" t="s">
        <v>125</v>
      </c>
      <c r="F102" s="384" t="s">
        <v>125</v>
      </c>
      <c r="G102" s="385">
        <v>0</v>
      </c>
      <c r="H102" s="385" t="s">
        <v>125</v>
      </c>
      <c r="I102" s="386" t="s">
        <v>125</v>
      </c>
      <c r="J102" s="387">
        <v>6.9548399999999996E-2</v>
      </c>
      <c r="K102" s="387" t="s">
        <v>125</v>
      </c>
      <c r="L102" s="388" t="s">
        <v>125</v>
      </c>
      <c r="M102" s="389" t="s">
        <v>125</v>
      </c>
      <c r="N102" s="389" t="s">
        <v>125</v>
      </c>
      <c r="O102" s="390" t="s">
        <v>125</v>
      </c>
      <c r="P102" s="379" t="s">
        <v>377</v>
      </c>
    </row>
    <row r="103" spans="1:16" x14ac:dyDescent="0.35">
      <c r="A103" s="375" t="s">
        <v>70</v>
      </c>
      <c r="B103" s="378" t="s">
        <v>33</v>
      </c>
      <c r="C103" s="378" t="s">
        <v>34</v>
      </c>
      <c r="D103" s="391">
        <v>0</v>
      </c>
      <c r="E103" s="391">
        <v>0</v>
      </c>
      <c r="F103" s="392" t="s">
        <v>125</v>
      </c>
      <c r="G103" s="393">
        <v>0</v>
      </c>
      <c r="H103" s="393">
        <v>0</v>
      </c>
      <c r="I103" s="394" t="s">
        <v>125</v>
      </c>
      <c r="J103" s="395">
        <v>2.5660700000000002E-2</v>
      </c>
      <c r="K103" s="395">
        <v>3.1E-2</v>
      </c>
      <c r="L103" s="396">
        <v>-0.17223548387096768</v>
      </c>
      <c r="M103" s="397" t="s">
        <v>125</v>
      </c>
      <c r="N103" s="397" t="s">
        <v>125</v>
      </c>
      <c r="O103" s="398" t="s">
        <v>125</v>
      </c>
      <c r="P103" s="380" t="s">
        <v>644</v>
      </c>
    </row>
    <row r="104" spans="1:16" x14ac:dyDescent="0.35">
      <c r="A104" s="374" t="s">
        <v>70</v>
      </c>
      <c r="B104" s="377" t="s">
        <v>247</v>
      </c>
      <c r="C104" s="377" t="s">
        <v>181</v>
      </c>
      <c r="D104" s="383">
        <v>0</v>
      </c>
      <c r="E104" s="383">
        <v>0</v>
      </c>
      <c r="F104" s="384" t="s">
        <v>125</v>
      </c>
      <c r="G104" s="385">
        <v>0</v>
      </c>
      <c r="H104" s="385">
        <v>0</v>
      </c>
      <c r="I104" s="386" t="s">
        <v>125</v>
      </c>
      <c r="J104" s="387">
        <v>876.66823969999996</v>
      </c>
      <c r="K104" s="387">
        <v>898.95482670000001</v>
      </c>
      <c r="L104" s="388">
        <v>-2.4791665096023287E-2</v>
      </c>
      <c r="M104" s="389" t="s">
        <v>125</v>
      </c>
      <c r="N104" s="389" t="s">
        <v>125</v>
      </c>
      <c r="O104" s="390" t="s">
        <v>125</v>
      </c>
      <c r="P104" s="379" t="s">
        <v>644</v>
      </c>
    </row>
    <row r="105" spans="1:16" x14ac:dyDescent="0.35">
      <c r="A105" s="375" t="s">
        <v>70</v>
      </c>
      <c r="B105" s="378" t="s">
        <v>430</v>
      </c>
      <c r="C105" s="378" t="s">
        <v>569</v>
      </c>
      <c r="D105" s="391">
        <v>0</v>
      </c>
      <c r="E105" s="391" t="s">
        <v>125</v>
      </c>
      <c r="F105" s="392" t="s">
        <v>125</v>
      </c>
      <c r="G105" s="393">
        <v>0</v>
      </c>
      <c r="H105" s="393" t="s">
        <v>125</v>
      </c>
      <c r="I105" s="394" t="s">
        <v>125</v>
      </c>
      <c r="J105" s="395">
        <v>2.1</v>
      </c>
      <c r="K105" s="395" t="s">
        <v>125</v>
      </c>
      <c r="L105" s="396" t="s">
        <v>125</v>
      </c>
      <c r="M105" s="397" t="s">
        <v>125</v>
      </c>
      <c r="N105" s="397" t="s">
        <v>125</v>
      </c>
      <c r="O105" s="398" t="s">
        <v>125</v>
      </c>
      <c r="P105" s="380" t="s">
        <v>377</v>
      </c>
    </row>
    <row r="106" spans="1:16" x14ac:dyDescent="0.35">
      <c r="A106" s="374" t="s">
        <v>129</v>
      </c>
      <c r="B106" s="377" t="s">
        <v>426</v>
      </c>
      <c r="C106" s="377" t="s">
        <v>34</v>
      </c>
      <c r="D106" s="383">
        <v>0</v>
      </c>
      <c r="E106" s="383">
        <v>0</v>
      </c>
      <c r="F106" s="384" t="s">
        <v>125</v>
      </c>
      <c r="G106" s="385">
        <v>0</v>
      </c>
      <c r="H106" s="385">
        <v>0</v>
      </c>
      <c r="I106" s="386" t="s">
        <v>125</v>
      </c>
      <c r="J106" s="387">
        <v>0.16417570000000001</v>
      </c>
      <c r="K106" s="387">
        <v>0.16600000000000001</v>
      </c>
      <c r="L106" s="388">
        <v>-1.0989759036144584E-2</v>
      </c>
      <c r="M106" s="389" t="s">
        <v>125</v>
      </c>
      <c r="N106" s="389" t="s">
        <v>125</v>
      </c>
      <c r="O106" s="390" t="s">
        <v>125</v>
      </c>
      <c r="P106" s="379" t="s">
        <v>647</v>
      </c>
    </row>
    <row r="107" spans="1:16" x14ac:dyDescent="0.35">
      <c r="A107" s="375" t="s">
        <v>129</v>
      </c>
      <c r="B107" s="378" t="s">
        <v>427</v>
      </c>
      <c r="C107" s="378" t="s">
        <v>34</v>
      </c>
      <c r="D107" s="391">
        <v>0</v>
      </c>
      <c r="E107" s="391" t="s">
        <v>125</v>
      </c>
      <c r="F107" s="392" t="s">
        <v>125</v>
      </c>
      <c r="G107" s="393">
        <v>0</v>
      </c>
      <c r="H107" s="393" t="s">
        <v>125</v>
      </c>
      <c r="I107" s="394" t="s">
        <v>125</v>
      </c>
      <c r="J107" s="395">
        <v>0.16970469999999999</v>
      </c>
      <c r="K107" s="395" t="s">
        <v>125</v>
      </c>
      <c r="L107" s="396" t="s">
        <v>125</v>
      </c>
      <c r="M107" s="397" t="s">
        <v>125</v>
      </c>
      <c r="N107" s="397" t="s">
        <v>125</v>
      </c>
      <c r="O107" s="398" t="s">
        <v>125</v>
      </c>
      <c r="P107" s="380" t="s">
        <v>377</v>
      </c>
    </row>
    <row r="108" spans="1:16" x14ac:dyDescent="0.35">
      <c r="A108" s="374" t="s">
        <v>129</v>
      </c>
      <c r="B108" s="377" t="s">
        <v>428</v>
      </c>
      <c r="C108" s="377" t="s">
        <v>34</v>
      </c>
      <c r="D108" s="383">
        <v>0</v>
      </c>
      <c r="E108" s="383" t="s">
        <v>125</v>
      </c>
      <c r="F108" s="384" t="s">
        <v>125</v>
      </c>
      <c r="G108" s="385">
        <v>0</v>
      </c>
      <c r="H108" s="385" t="s">
        <v>125</v>
      </c>
      <c r="I108" s="386" t="s">
        <v>125</v>
      </c>
      <c r="J108" s="387">
        <v>6.9548399999999996E-2</v>
      </c>
      <c r="K108" s="387" t="s">
        <v>125</v>
      </c>
      <c r="L108" s="388" t="s">
        <v>125</v>
      </c>
      <c r="M108" s="389" t="s">
        <v>125</v>
      </c>
      <c r="N108" s="389" t="s">
        <v>125</v>
      </c>
      <c r="O108" s="390" t="s">
        <v>125</v>
      </c>
      <c r="P108" s="379" t="s">
        <v>377</v>
      </c>
    </row>
    <row r="109" spans="1:16" x14ac:dyDescent="0.35">
      <c r="A109" s="375" t="s">
        <v>129</v>
      </c>
      <c r="B109" s="378" t="s">
        <v>32</v>
      </c>
      <c r="C109" s="378" t="s">
        <v>34</v>
      </c>
      <c r="D109" s="391">
        <v>0</v>
      </c>
      <c r="E109" s="391">
        <v>0</v>
      </c>
      <c r="F109" s="392" t="s">
        <v>125</v>
      </c>
      <c r="G109" s="393">
        <v>0</v>
      </c>
      <c r="H109" s="393">
        <v>0</v>
      </c>
      <c r="I109" s="394" t="s">
        <v>125</v>
      </c>
      <c r="J109" s="395">
        <v>5.9676199999999999E-2</v>
      </c>
      <c r="K109" s="395">
        <v>7.1333300000000002E-2</v>
      </c>
      <c r="L109" s="396">
        <v>-0.1634173660828814</v>
      </c>
      <c r="M109" s="397" t="s">
        <v>125</v>
      </c>
      <c r="N109" s="397" t="s">
        <v>125</v>
      </c>
      <c r="O109" s="398" t="s">
        <v>125</v>
      </c>
      <c r="P109" s="380" t="s">
        <v>644</v>
      </c>
    </row>
    <row r="110" spans="1:16" x14ac:dyDescent="0.35">
      <c r="A110" s="374" t="s">
        <v>129</v>
      </c>
      <c r="B110" s="377" t="s">
        <v>31</v>
      </c>
      <c r="C110" s="377" t="s">
        <v>34</v>
      </c>
      <c r="D110" s="383">
        <v>0</v>
      </c>
      <c r="E110" s="383">
        <v>0</v>
      </c>
      <c r="F110" s="384" t="s">
        <v>125</v>
      </c>
      <c r="G110" s="385">
        <v>0</v>
      </c>
      <c r="H110" s="385">
        <v>0</v>
      </c>
      <c r="I110" s="386" t="s">
        <v>125</v>
      </c>
      <c r="J110" s="387">
        <v>2.99741E-2</v>
      </c>
      <c r="K110" s="387">
        <v>3.1E-2</v>
      </c>
      <c r="L110" s="388">
        <v>-3.3093548387096765E-2</v>
      </c>
      <c r="M110" s="389" t="s">
        <v>125</v>
      </c>
      <c r="N110" s="389" t="s">
        <v>125</v>
      </c>
      <c r="O110" s="390" t="s">
        <v>125</v>
      </c>
      <c r="P110" s="379" t="s">
        <v>644</v>
      </c>
    </row>
    <row r="111" spans="1:16" x14ac:dyDescent="0.35">
      <c r="A111" s="375" t="s">
        <v>129</v>
      </c>
      <c r="B111" s="378" t="s">
        <v>33</v>
      </c>
      <c r="C111" s="378" t="s">
        <v>34</v>
      </c>
      <c r="D111" s="391">
        <v>0</v>
      </c>
      <c r="E111" s="391">
        <v>0</v>
      </c>
      <c r="F111" s="392" t="s">
        <v>125</v>
      </c>
      <c r="G111" s="393">
        <v>0</v>
      </c>
      <c r="H111" s="393">
        <v>0</v>
      </c>
      <c r="I111" s="394" t="s">
        <v>125</v>
      </c>
      <c r="J111" s="395">
        <v>2.5660700000000002E-2</v>
      </c>
      <c r="K111" s="395">
        <v>3.1E-2</v>
      </c>
      <c r="L111" s="396">
        <v>-0.17223548387096768</v>
      </c>
      <c r="M111" s="397" t="s">
        <v>125</v>
      </c>
      <c r="N111" s="397" t="s">
        <v>125</v>
      </c>
      <c r="O111" s="398" t="s">
        <v>125</v>
      </c>
      <c r="P111" s="380" t="s">
        <v>644</v>
      </c>
    </row>
    <row r="112" spans="1:16" x14ac:dyDescent="0.35">
      <c r="A112" s="374" t="s">
        <v>129</v>
      </c>
      <c r="B112" s="377" t="s">
        <v>474</v>
      </c>
      <c r="C112" s="377" t="s">
        <v>34</v>
      </c>
      <c r="D112" s="383">
        <v>0</v>
      </c>
      <c r="E112" s="383">
        <v>0</v>
      </c>
      <c r="F112" s="384" t="s">
        <v>125</v>
      </c>
      <c r="G112" s="385">
        <v>0</v>
      </c>
      <c r="H112" s="385">
        <v>0</v>
      </c>
      <c r="I112" s="386" t="s">
        <v>125</v>
      </c>
      <c r="J112" s="387">
        <v>0.16902</v>
      </c>
      <c r="K112" s="387">
        <v>0.16098000000000001</v>
      </c>
      <c r="L112" s="388">
        <v>4.9944092433842659E-2</v>
      </c>
      <c r="M112" s="389" t="s">
        <v>125</v>
      </c>
      <c r="N112" s="389" t="s">
        <v>125</v>
      </c>
      <c r="O112" s="390" t="s">
        <v>125</v>
      </c>
      <c r="P112" s="379" t="s">
        <v>648</v>
      </c>
    </row>
    <row r="113" spans="1:16" x14ac:dyDescent="0.35">
      <c r="A113" s="375" t="s">
        <v>129</v>
      </c>
      <c r="B113" s="378" t="s">
        <v>477</v>
      </c>
      <c r="C113" s="378" t="s">
        <v>34</v>
      </c>
      <c r="D113" s="391">
        <v>0</v>
      </c>
      <c r="E113" s="391">
        <v>0</v>
      </c>
      <c r="F113" s="392" t="s">
        <v>125</v>
      </c>
      <c r="G113" s="393">
        <v>0</v>
      </c>
      <c r="H113" s="393">
        <v>0</v>
      </c>
      <c r="I113" s="394" t="s">
        <v>125</v>
      </c>
      <c r="J113" s="395">
        <v>9.8449999999999996E-2</v>
      </c>
      <c r="K113" s="395">
        <v>0.10974</v>
      </c>
      <c r="L113" s="396">
        <v>-0.10287953344268277</v>
      </c>
      <c r="M113" s="397" t="s">
        <v>125</v>
      </c>
      <c r="N113" s="397" t="s">
        <v>125</v>
      </c>
      <c r="O113" s="398" t="s">
        <v>125</v>
      </c>
      <c r="P113" s="380" t="s">
        <v>649</v>
      </c>
    </row>
    <row r="114" spans="1:16" x14ac:dyDescent="0.35">
      <c r="A114" s="374" t="s">
        <v>129</v>
      </c>
      <c r="B114" s="377" t="s">
        <v>479</v>
      </c>
      <c r="C114" s="377" t="s">
        <v>34</v>
      </c>
      <c r="D114" s="383">
        <v>0</v>
      </c>
      <c r="E114" s="383" t="s">
        <v>125</v>
      </c>
      <c r="F114" s="384" t="s">
        <v>125</v>
      </c>
      <c r="G114" s="385">
        <v>0</v>
      </c>
      <c r="H114" s="385" t="s">
        <v>125</v>
      </c>
      <c r="I114" s="386" t="s">
        <v>125</v>
      </c>
      <c r="J114" s="387">
        <v>9.6839999999999996E-2</v>
      </c>
      <c r="K114" s="387" t="s">
        <v>125</v>
      </c>
      <c r="L114" s="388" t="s">
        <v>125</v>
      </c>
      <c r="M114" s="389" t="s">
        <v>125</v>
      </c>
      <c r="N114" s="389" t="s">
        <v>125</v>
      </c>
      <c r="O114" s="390" t="s">
        <v>125</v>
      </c>
      <c r="P114" s="379" t="s">
        <v>377</v>
      </c>
    </row>
    <row r="115" spans="1:16" x14ac:dyDescent="0.35">
      <c r="A115" s="375" t="s">
        <v>129</v>
      </c>
      <c r="B115" s="378" t="s">
        <v>480</v>
      </c>
      <c r="C115" s="378" t="s">
        <v>34</v>
      </c>
      <c r="D115" s="391">
        <v>0</v>
      </c>
      <c r="E115" s="391" t="s">
        <v>125</v>
      </c>
      <c r="F115" s="392" t="s">
        <v>125</v>
      </c>
      <c r="G115" s="393">
        <v>0</v>
      </c>
      <c r="H115" s="393" t="s">
        <v>125</v>
      </c>
      <c r="I115" s="394" t="s">
        <v>125</v>
      </c>
      <c r="J115" s="395">
        <v>0.14524999999999999</v>
      </c>
      <c r="K115" s="395" t="s">
        <v>125</v>
      </c>
      <c r="L115" s="396" t="s">
        <v>125</v>
      </c>
      <c r="M115" s="397" t="s">
        <v>125</v>
      </c>
      <c r="N115" s="397" t="s">
        <v>125</v>
      </c>
      <c r="O115" s="398" t="s">
        <v>125</v>
      </c>
      <c r="P115" s="380" t="s">
        <v>377</v>
      </c>
    </row>
    <row r="116" spans="1:16" x14ac:dyDescent="0.35">
      <c r="A116" s="374" t="s">
        <v>129</v>
      </c>
      <c r="B116" s="377" t="s">
        <v>478</v>
      </c>
      <c r="C116" s="377" t="s">
        <v>34</v>
      </c>
      <c r="D116" s="383">
        <v>0</v>
      </c>
      <c r="E116" s="383">
        <v>0</v>
      </c>
      <c r="F116" s="384" t="s">
        <v>125</v>
      </c>
      <c r="G116" s="385">
        <v>0</v>
      </c>
      <c r="H116" s="385">
        <v>0</v>
      </c>
      <c r="I116" s="386" t="s">
        <v>125</v>
      </c>
      <c r="J116" s="387">
        <v>0.12256</v>
      </c>
      <c r="K116" s="387">
        <v>0.15423000000000001</v>
      </c>
      <c r="L116" s="388">
        <v>-0.20534267003825457</v>
      </c>
      <c r="M116" s="389" t="s">
        <v>125</v>
      </c>
      <c r="N116" s="389" t="s">
        <v>125</v>
      </c>
      <c r="O116" s="390" t="s">
        <v>125</v>
      </c>
      <c r="P116" s="379" t="s">
        <v>650</v>
      </c>
    </row>
    <row r="117" spans="1:16" x14ac:dyDescent="0.35">
      <c r="A117" s="375" t="s">
        <v>129</v>
      </c>
      <c r="B117" s="378" t="s">
        <v>481</v>
      </c>
      <c r="C117" s="378" t="s">
        <v>34</v>
      </c>
      <c r="D117" s="391">
        <v>0</v>
      </c>
      <c r="E117" s="391" t="s">
        <v>125</v>
      </c>
      <c r="F117" s="392" t="s">
        <v>125</v>
      </c>
      <c r="G117" s="393">
        <v>0</v>
      </c>
      <c r="H117" s="393" t="s">
        <v>125</v>
      </c>
      <c r="I117" s="394" t="s">
        <v>125</v>
      </c>
      <c r="J117" s="395">
        <v>9.3869999999999995E-2</v>
      </c>
      <c r="K117" s="395" t="s">
        <v>125</v>
      </c>
      <c r="L117" s="396" t="s">
        <v>125</v>
      </c>
      <c r="M117" s="397" t="s">
        <v>125</v>
      </c>
      <c r="N117" s="397" t="s">
        <v>125</v>
      </c>
      <c r="O117" s="398" t="s">
        <v>125</v>
      </c>
      <c r="P117" s="380" t="s">
        <v>377</v>
      </c>
    </row>
    <row r="118" spans="1:16" x14ac:dyDescent="0.35">
      <c r="A118" s="374" t="s">
        <v>129</v>
      </c>
      <c r="B118" s="377" t="s">
        <v>482</v>
      </c>
      <c r="C118" s="377" t="s">
        <v>34</v>
      </c>
      <c r="D118" s="383">
        <v>0</v>
      </c>
      <c r="E118" s="383" t="s">
        <v>125</v>
      </c>
      <c r="F118" s="384" t="s">
        <v>125</v>
      </c>
      <c r="G118" s="385">
        <v>0</v>
      </c>
      <c r="H118" s="385" t="s">
        <v>125</v>
      </c>
      <c r="I118" s="386" t="s">
        <v>125</v>
      </c>
      <c r="J118" s="387">
        <v>0.2722</v>
      </c>
      <c r="K118" s="387" t="s">
        <v>125</v>
      </c>
      <c r="L118" s="388" t="s">
        <v>125</v>
      </c>
      <c r="M118" s="389" t="s">
        <v>125</v>
      </c>
      <c r="N118" s="389" t="s">
        <v>125</v>
      </c>
      <c r="O118" s="390" t="s">
        <v>125</v>
      </c>
      <c r="P118" s="379" t="s">
        <v>377</v>
      </c>
    </row>
    <row r="119" spans="1:16" x14ac:dyDescent="0.35">
      <c r="A119" s="375" t="s">
        <v>129</v>
      </c>
      <c r="B119" s="378" t="s">
        <v>109</v>
      </c>
      <c r="C119" s="378" t="s">
        <v>180</v>
      </c>
      <c r="D119" s="391">
        <v>0</v>
      </c>
      <c r="E119" s="391">
        <v>0</v>
      </c>
      <c r="F119" s="392" t="s">
        <v>125</v>
      </c>
      <c r="G119" s="393">
        <v>0</v>
      </c>
      <c r="H119" s="393">
        <v>0</v>
      </c>
      <c r="I119" s="394" t="s">
        <v>125</v>
      </c>
      <c r="J119" s="395">
        <v>6.5810000000000004</v>
      </c>
      <c r="K119" s="395">
        <v>6.5810000000000004</v>
      </c>
      <c r="L119" s="396">
        <v>0</v>
      </c>
      <c r="M119" s="397" t="s">
        <v>125</v>
      </c>
      <c r="N119" s="397" t="s">
        <v>125</v>
      </c>
      <c r="O119" s="398" t="s">
        <v>125</v>
      </c>
      <c r="P119" s="380" t="s">
        <v>646</v>
      </c>
    </row>
    <row r="120" spans="1:16" x14ac:dyDescent="0.35">
      <c r="A120" s="374" t="s">
        <v>129</v>
      </c>
      <c r="B120" s="377" t="s">
        <v>429</v>
      </c>
      <c r="C120" s="377" t="s">
        <v>180</v>
      </c>
      <c r="D120" s="383">
        <v>0</v>
      </c>
      <c r="E120" s="383" t="s">
        <v>125</v>
      </c>
      <c r="F120" s="384" t="s">
        <v>125</v>
      </c>
      <c r="G120" s="385">
        <v>0</v>
      </c>
      <c r="H120" s="385" t="s">
        <v>125</v>
      </c>
      <c r="I120" s="386" t="s">
        <v>125</v>
      </c>
      <c r="J120" s="387">
        <v>4.1500000000000004</v>
      </c>
      <c r="K120" s="387" t="s">
        <v>125</v>
      </c>
      <c r="L120" s="388" t="s">
        <v>125</v>
      </c>
      <c r="M120" s="389" t="s">
        <v>125</v>
      </c>
      <c r="N120" s="389" t="s">
        <v>125</v>
      </c>
      <c r="O120" s="390" t="s">
        <v>125</v>
      </c>
      <c r="P120" s="379" t="s">
        <v>377</v>
      </c>
    </row>
    <row r="121" spans="1:16" x14ac:dyDescent="0.35">
      <c r="A121" s="375" t="s">
        <v>71</v>
      </c>
      <c r="B121" s="378" t="s">
        <v>363</v>
      </c>
      <c r="C121" s="378" t="s">
        <v>35</v>
      </c>
      <c r="D121" s="391">
        <v>0</v>
      </c>
      <c r="E121" s="391">
        <v>0</v>
      </c>
      <c r="F121" s="392" t="s">
        <v>125</v>
      </c>
      <c r="G121" s="393">
        <v>0</v>
      </c>
      <c r="H121" s="393">
        <v>0</v>
      </c>
      <c r="I121" s="394" t="s">
        <v>125</v>
      </c>
      <c r="J121" s="395">
        <v>0.1182869</v>
      </c>
      <c r="K121" s="395">
        <v>0.121</v>
      </c>
      <c r="L121" s="396">
        <v>-2.2422314049586747E-2</v>
      </c>
      <c r="M121" s="397" t="s">
        <v>125</v>
      </c>
      <c r="N121" s="397" t="s">
        <v>125</v>
      </c>
      <c r="O121" s="398" t="s">
        <v>125</v>
      </c>
      <c r="P121" s="380" t="s">
        <v>644</v>
      </c>
    </row>
    <row r="122" spans="1:16" x14ac:dyDescent="0.35">
      <c r="A122" s="374" t="s">
        <v>71</v>
      </c>
      <c r="B122" s="377" t="s">
        <v>54</v>
      </c>
      <c r="C122" s="377" t="s">
        <v>35</v>
      </c>
      <c r="D122" s="383">
        <v>0</v>
      </c>
      <c r="E122" s="383">
        <v>0</v>
      </c>
      <c r="F122" s="384" t="s">
        <v>125</v>
      </c>
      <c r="G122" s="385">
        <v>0</v>
      </c>
      <c r="H122" s="385">
        <v>0</v>
      </c>
      <c r="I122" s="386" t="s">
        <v>125</v>
      </c>
      <c r="J122" s="387">
        <v>0.56739629999999996</v>
      </c>
      <c r="K122" s="387">
        <v>0.56899999999999995</v>
      </c>
      <c r="L122" s="388">
        <v>-2.8184534270650013E-3</v>
      </c>
      <c r="M122" s="389" t="s">
        <v>125</v>
      </c>
      <c r="N122" s="389" t="s">
        <v>125</v>
      </c>
      <c r="O122" s="390" t="s">
        <v>125</v>
      </c>
      <c r="P122" s="379" t="s">
        <v>644</v>
      </c>
    </row>
    <row r="123" spans="1:16" x14ac:dyDescent="0.35">
      <c r="A123" s="375" t="s">
        <v>71</v>
      </c>
      <c r="B123" s="378" t="s">
        <v>61</v>
      </c>
      <c r="C123" s="378" t="s">
        <v>35</v>
      </c>
      <c r="D123" s="391">
        <v>0</v>
      </c>
      <c r="E123" s="391">
        <v>0</v>
      </c>
      <c r="F123" s="392" t="s">
        <v>125</v>
      </c>
      <c r="G123" s="393">
        <v>0</v>
      </c>
      <c r="H123" s="393">
        <v>0</v>
      </c>
      <c r="I123" s="394" t="s">
        <v>125</v>
      </c>
      <c r="J123" s="395">
        <v>0.39286500000000002</v>
      </c>
      <c r="K123" s="395">
        <v>0.39800000000000002</v>
      </c>
      <c r="L123" s="396">
        <v>-1.2902010050251256E-2</v>
      </c>
      <c r="M123" s="397" t="s">
        <v>125</v>
      </c>
      <c r="N123" s="397" t="s">
        <v>125</v>
      </c>
      <c r="O123" s="398" t="s">
        <v>125</v>
      </c>
      <c r="P123" s="380" t="s">
        <v>644</v>
      </c>
    </row>
    <row r="124" spans="1:16" x14ac:dyDescent="0.35">
      <c r="A124" s="374" t="s">
        <v>71</v>
      </c>
      <c r="B124" s="377" t="s">
        <v>62</v>
      </c>
      <c r="C124" s="377" t="s">
        <v>35</v>
      </c>
      <c r="D124" s="383">
        <v>0</v>
      </c>
      <c r="E124" s="383">
        <v>0</v>
      </c>
      <c r="F124" s="384" t="s">
        <v>125</v>
      </c>
      <c r="G124" s="385">
        <v>0</v>
      </c>
      <c r="H124" s="385">
        <v>0</v>
      </c>
      <c r="I124" s="386" t="s">
        <v>125</v>
      </c>
      <c r="J124" s="387">
        <v>0.248581</v>
      </c>
      <c r="K124" s="387">
        <v>0.253</v>
      </c>
      <c r="L124" s="388">
        <v>-1.7466403162055361E-2</v>
      </c>
      <c r="M124" s="389" t="s">
        <v>125</v>
      </c>
      <c r="N124" s="389" t="s">
        <v>125</v>
      </c>
      <c r="O124" s="390" t="s">
        <v>125</v>
      </c>
      <c r="P124" s="379" t="s">
        <v>644</v>
      </c>
    </row>
    <row r="125" spans="1:16" x14ac:dyDescent="0.35">
      <c r="A125" s="375" t="s">
        <v>71</v>
      </c>
      <c r="B125" s="378" t="s">
        <v>289</v>
      </c>
      <c r="C125" s="378" t="s">
        <v>35</v>
      </c>
      <c r="D125" s="391">
        <v>0</v>
      </c>
      <c r="E125" s="391">
        <v>0</v>
      </c>
      <c r="F125" s="392" t="s">
        <v>125</v>
      </c>
      <c r="G125" s="393">
        <v>0</v>
      </c>
      <c r="H125" s="393">
        <v>0</v>
      </c>
      <c r="I125" s="394" t="s">
        <v>125</v>
      </c>
      <c r="J125" s="395">
        <v>0.1004613</v>
      </c>
      <c r="K125" s="395">
        <v>0.10299999999999999</v>
      </c>
      <c r="L125" s="396">
        <v>-2.4647572815533893E-2</v>
      </c>
      <c r="M125" s="397" t="s">
        <v>125</v>
      </c>
      <c r="N125" s="397" t="s">
        <v>125</v>
      </c>
      <c r="O125" s="398" t="s">
        <v>125</v>
      </c>
      <c r="P125" s="380" t="s">
        <v>644</v>
      </c>
    </row>
    <row r="126" spans="1:16" x14ac:dyDescent="0.35">
      <c r="A126" s="374" t="s">
        <v>71</v>
      </c>
      <c r="B126" s="377" t="s">
        <v>364</v>
      </c>
      <c r="C126" s="377" t="s">
        <v>35</v>
      </c>
      <c r="D126" s="383">
        <v>0</v>
      </c>
      <c r="E126" s="383">
        <v>0</v>
      </c>
      <c r="F126" s="384" t="s">
        <v>125</v>
      </c>
      <c r="G126" s="385">
        <v>0</v>
      </c>
      <c r="H126" s="385">
        <v>0</v>
      </c>
      <c r="I126" s="386" t="s">
        <v>125</v>
      </c>
      <c r="J126" s="387">
        <v>1.42743E-2</v>
      </c>
      <c r="K126" s="387">
        <v>1.6E-2</v>
      </c>
      <c r="L126" s="388">
        <v>-0.10785625</v>
      </c>
      <c r="M126" s="389" t="s">
        <v>125</v>
      </c>
      <c r="N126" s="389" t="s">
        <v>125</v>
      </c>
      <c r="O126" s="390" t="s">
        <v>125</v>
      </c>
      <c r="P126" s="379" t="s">
        <v>644</v>
      </c>
    </row>
    <row r="127" spans="1:16" x14ac:dyDescent="0.35">
      <c r="A127" s="375" t="s">
        <v>71</v>
      </c>
      <c r="B127" s="378" t="s">
        <v>55</v>
      </c>
      <c r="C127" s="378" t="s">
        <v>35</v>
      </c>
      <c r="D127" s="391">
        <v>0</v>
      </c>
      <c r="E127" s="391">
        <v>0</v>
      </c>
      <c r="F127" s="392" t="s">
        <v>125</v>
      </c>
      <c r="G127" s="393">
        <v>0</v>
      </c>
      <c r="H127" s="393">
        <v>0</v>
      </c>
      <c r="I127" s="394" t="s">
        <v>125</v>
      </c>
      <c r="J127" s="395">
        <v>1.31474E-2</v>
      </c>
      <c r="K127" s="395">
        <v>1.4999999999999999E-2</v>
      </c>
      <c r="L127" s="396">
        <v>-0.12350666666666663</v>
      </c>
      <c r="M127" s="397" t="s">
        <v>125</v>
      </c>
      <c r="N127" s="397" t="s">
        <v>125</v>
      </c>
      <c r="O127" s="398" t="s">
        <v>125</v>
      </c>
      <c r="P127" s="380" t="s">
        <v>644</v>
      </c>
    </row>
    <row r="128" spans="1:16" x14ac:dyDescent="0.35">
      <c r="A128" s="374" t="s">
        <v>71</v>
      </c>
      <c r="B128" s="377" t="s">
        <v>56</v>
      </c>
      <c r="C128" s="377" t="s">
        <v>35</v>
      </c>
      <c r="D128" s="383">
        <v>0</v>
      </c>
      <c r="E128" s="383">
        <v>0</v>
      </c>
      <c r="F128" s="384" t="s">
        <v>125</v>
      </c>
      <c r="G128" s="385">
        <v>0</v>
      </c>
      <c r="H128" s="385">
        <v>0</v>
      </c>
      <c r="I128" s="386" t="s">
        <v>125</v>
      </c>
      <c r="J128" s="387">
        <v>3.4230900000000002E-2</v>
      </c>
      <c r="K128" s="387">
        <v>2.8000000000000001E-2</v>
      </c>
      <c r="L128" s="388">
        <v>0.2225321428571429</v>
      </c>
      <c r="M128" s="389" t="s">
        <v>125</v>
      </c>
      <c r="N128" s="389" t="s">
        <v>125</v>
      </c>
      <c r="O128" s="390" t="s">
        <v>125</v>
      </c>
      <c r="P128" s="379" t="s">
        <v>644</v>
      </c>
    </row>
    <row r="129" spans="1:16" x14ac:dyDescent="0.35">
      <c r="A129" s="375" t="s">
        <v>71</v>
      </c>
      <c r="B129" s="378" t="s">
        <v>57</v>
      </c>
      <c r="C129" s="378" t="s">
        <v>35</v>
      </c>
      <c r="D129" s="391">
        <v>0</v>
      </c>
      <c r="E129" s="391">
        <v>0</v>
      </c>
      <c r="F129" s="392" t="s">
        <v>125</v>
      </c>
      <c r="G129" s="393">
        <v>0</v>
      </c>
      <c r="H129" s="393">
        <v>0</v>
      </c>
      <c r="I129" s="394" t="s">
        <v>125</v>
      </c>
      <c r="J129" s="395">
        <v>1.7000000000000001E-2</v>
      </c>
      <c r="K129" s="395">
        <v>1.7000000000000001E-2</v>
      </c>
      <c r="L129" s="396">
        <v>0</v>
      </c>
      <c r="M129" s="397" t="s">
        <v>125</v>
      </c>
      <c r="N129" s="397" t="s">
        <v>125</v>
      </c>
      <c r="O129" s="398" t="s">
        <v>125</v>
      </c>
      <c r="P129" s="380" t="s">
        <v>646</v>
      </c>
    </row>
    <row r="130" spans="1:16" x14ac:dyDescent="0.35">
      <c r="A130" s="374" t="s">
        <v>71</v>
      </c>
      <c r="B130" s="377" t="s">
        <v>58</v>
      </c>
      <c r="C130" s="377" t="s">
        <v>35</v>
      </c>
      <c r="D130" s="383">
        <v>0</v>
      </c>
      <c r="E130" s="383">
        <v>0</v>
      </c>
      <c r="F130" s="384" t="s">
        <v>125</v>
      </c>
      <c r="G130" s="385">
        <v>0</v>
      </c>
      <c r="H130" s="385">
        <v>0</v>
      </c>
      <c r="I130" s="386" t="s">
        <v>125</v>
      </c>
      <c r="J130" s="387">
        <v>6.0000000000000001E-3</v>
      </c>
      <c r="K130" s="387">
        <v>6.0000000000000001E-3</v>
      </c>
      <c r="L130" s="388">
        <v>0</v>
      </c>
      <c r="M130" s="389" t="s">
        <v>125</v>
      </c>
      <c r="N130" s="389" t="s">
        <v>125</v>
      </c>
      <c r="O130" s="390" t="s">
        <v>125</v>
      </c>
      <c r="P130" s="379" t="s">
        <v>646</v>
      </c>
    </row>
    <row r="131" spans="1:16" x14ac:dyDescent="0.35">
      <c r="A131" s="375" t="s">
        <v>71</v>
      </c>
      <c r="B131" s="378" t="s">
        <v>202</v>
      </c>
      <c r="C131" s="378" t="s">
        <v>35</v>
      </c>
      <c r="D131" s="391">
        <v>0</v>
      </c>
      <c r="E131" s="391">
        <v>0</v>
      </c>
      <c r="F131" s="392" t="s">
        <v>125</v>
      </c>
      <c r="G131" s="393">
        <v>0</v>
      </c>
      <c r="H131" s="393">
        <v>0</v>
      </c>
      <c r="I131" s="394" t="s">
        <v>125</v>
      </c>
      <c r="J131" s="395">
        <v>3.1694899999999998E-2</v>
      </c>
      <c r="K131" s="395">
        <v>3.1E-2</v>
      </c>
      <c r="L131" s="396">
        <v>2.2416129032258009E-2</v>
      </c>
      <c r="M131" s="397" t="s">
        <v>125</v>
      </c>
      <c r="N131" s="397" t="s">
        <v>125</v>
      </c>
      <c r="O131" s="398" t="s">
        <v>125</v>
      </c>
      <c r="P131" s="380" t="s">
        <v>644</v>
      </c>
    </row>
    <row r="132" spans="1:16" x14ac:dyDescent="0.35">
      <c r="A132" s="374" t="s">
        <v>71</v>
      </c>
      <c r="B132" s="377" t="s">
        <v>59</v>
      </c>
      <c r="C132" s="377" t="s">
        <v>35</v>
      </c>
      <c r="D132" s="383">
        <v>0</v>
      </c>
      <c r="E132" s="383">
        <v>0</v>
      </c>
      <c r="F132" s="384" t="s">
        <v>125</v>
      </c>
      <c r="G132" s="385">
        <v>0</v>
      </c>
      <c r="H132" s="385">
        <v>0</v>
      </c>
      <c r="I132" s="386" t="s">
        <v>125</v>
      </c>
      <c r="J132" s="387">
        <v>0.57399999999999995</v>
      </c>
      <c r="K132" s="387">
        <v>0.57399999999999995</v>
      </c>
      <c r="L132" s="388">
        <v>0</v>
      </c>
      <c r="M132" s="389" t="s">
        <v>125</v>
      </c>
      <c r="N132" s="389" t="s">
        <v>125</v>
      </c>
      <c r="O132" s="390" t="s">
        <v>125</v>
      </c>
      <c r="P132" s="379" t="s">
        <v>646</v>
      </c>
    </row>
    <row r="133" spans="1:16" x14ac:dyDescent="0.35">
      <c r="A133" s="381" t="s">
        <v>71</v>
      </c>
      <c r="B133" s="382" t="s">
        <v>60</v>
      </c>
      <c r="C133" s="382" t="s">
        <v>35</v>
      </c>
      <c r="D133" s="391">
        <v>0</v>
      </c>
      <c r="E133" s="391">
        <v>0</v>
      </c>
      <c r="F133" s="392" t="s">
        <v>125</v>
      </c>
      <c r="G133" s="393">
        <v>0</v>
      </c>
      <c r="H133" s="393">
        <v>0</v>
      </c>
      <c r="I133" s="394" t="s">
        <v>125</v>
      </c>
      <c r="J133" s="395">
        <v>1.0009999999999999</v>
      </c>
      <c r="K133" s="395">
        <v>1.0009999999999999</v>
      </c>
      <c r="L133" s="396">
        <v>0</v>
      </c>
      <c r="M133" s="397" t="s">
        <v>125</v>
      </c>
      <c r="N133" s="397" t="s">
        <v>125</v>
      </c>
      <c r="O133" s="398" t="s">
        <v>125</v>
      </c>
      <c r="P133" s="534" t="s">
        <v>646</v>
      </c>
    </row>
    <row r="134" spans="1:16" x14ac:dyDescent="0.35">
      <c r="A134" s="374" t="s">
        <v>71</v>
      </c>
      <c r="B134" s="377" t="s">
        <v>130</v>
      </c>
      <c r="C134" s="377" t="s">
        <v>63</v>
      </c>
      <c r="D134" s="383">
        <v>0</v>
      </c>
      <c r="E134" s="383">
        <v>0</v>
      </c>
      <c r="F134" s="384" t="s">
        <v>125</v>
      </c>
      <c r="G134" s="385">
        <v>0</v>
      </c>
      <c r="H134" s="385">
        <v>0</v>
      </c>
      <c r="I134" s="386" t="s">
        <v>125</v>
      </c>
      <c r="J134" s="387">
        <v>1</v>
      </c>
      <c r="K134" s="387">
        <v>1</v>
      </c>
      <c r="L134" s="388">
        <v>0</v>
      </c>
      <c r="M134" s="389" t="s">
        <v>125</v>
      </c>
      <c r="N134" s="389" t="s">
        <v>125</v>
      </c>
      <c r="O134" s="390" t="s">
        <v>125</v>
      </c>
      <c r="P134" s="379" t="s">
        <v>646</v>
      </c>
    </row>
    <row r="135" spans="1:16" x14ac:dyDescent="0.35">
      <c r="A135" s="381" t="s">
        <v>218</v>
      </c>
      <c r="B135" s="382" t="s">
        <v>115</v>
      </c>
      <c r="C135" s="382" t="s">
        <v>26</v>
      </c>
      <c r="D135" s="391">
        <v>0</v>
      </c>
      <c r="E135" s="391">
        <v>0</v>
      </c>
      <c r="F135" s="392" t="s">
        <v>125</v>
      </c>
      <c r="G135" s="393">
        <v>0</v>
      </c>
      <c r="H135" s="393">
        <v>0</v>
      </c>
      <c r="I135" s="394" t="s">
        <v>125</v>
      </c>
      <c r="J135" s="395">
        <v>3.6666666999999999</v>
      </c>
      <c r="K135" s="395">
        <v>3.6666666999999999</v>
      </c>
      <c r="L135" s="396">
        <v>0</v>
      </c>
      <c r="M135" s="397" t="s">
        <v>125</v>
      </c>
      <c r="N135" s="397" t="s">
        <v>125</v>
      </c>
      <c r="O135" s="398" t="s">
        <v>125</v>
      </c>
      <c r="P135" s="534" t="s">
        <v>646</v>
      </c>
    </row>
    <row r="136" spans="1:16" x14ac:dyDescent="0.35">
      <c r="A136" s="374" t="s">
        <v>218</v>
      </c>
      <c r="B136" s="377" t="s">
        <v>248</v>
      </c>
      <c r="C136" s="377" t="s">
        <v>36</v>
      </c>
      <c r="D136" s="383">
        <v>0</v>
      </c>
      <c r="E136" s="383">
        <v>0</v>
      </c>
      <c r="F136" s="384" t="s">
        <v>125</v>
      </c>
      <c r="G136" s="385">
        <v>0</v>
      </c>
      <c r="H136" s="385">
        <v>0</v>
      </c>
      <c r="I136" s="386" t="s">
        <v>125</v>
      </c>
      <c r="J136" s="387">
        <v>1.1000000000000001</v>
      </c>
      <c r="K136" s="387">
        <v>1.1000000000000001</v>
      </c>
      <c r="L136" s="388">
        <v>0</v>
      </c>
      <c r="M136" s="389" t="s">
        <v>125</v>
      </c>
      <c r="N136" s="389" t="s">
        <v>125</v>
      </c>
      <c r="O136" s="390" t="s">
        <v>125</v>
      </c>
      <c r="P136" s="379" t="s">
        <v>646</v>
      </c>
    </row>
    <row r="137" spans="1:16" x14ac:dyDescent="0.35">
      <c r="A137" s="381" t="s">
        <v>218</v>
      </c>
      <c r="B137" s="382" t="s">
        <v>116</v>
      </c>
      <c r="C137" s="382" t="s">
        <v>26</v>
      </c>
      <c r="D137" s="391">
        <v>0</v>
      </c>
      <c r="E137" s="391">
        <v>0</v>
      </c>
      <c r="F137" s="392" t="s">
        <v>125</v>
      </c>
      <c r="G137" s="393">
        <v>0</v>
      </c>
      <c r="H137" s="393">
        <v>0</v>
      </c>
      <c r="I137" s="394" t="s">
        <v>125</v>
      </c>
      <c r="J137" s="395">
        <v>8.5975000000000001</v>
      </c>
      <c r="K137" s="395">
        <v>8.5975000000000001</v>
      </c>
      <c r="L137" s="396">
        <v>0</v>
      </c>
      <c r="M137" s="397" t="s">
        <v>125</v>
      </c>
      <c r="N137" s="397" t="s">
        <v>125</v>
      </c>
      <c r="O137" s="398" t="s">
        <v>125</v>
      </c>
      <c r="P137" s="534" t="s">
        <v>646</v>
      </c>
    </row>
    <row r="138" spans="1:16" x14ac:dyDescent="0.35">
      <c r="A138" s="374" t="s">
        <v>218</v>
      </c>
      <c r="B138" s="377" t="s">
        <v>249</v>
      </c>
      <c r="C138" s="377" t="s">
        <v>36</v>
      </c>
      <c r="D138" s="383">
        <v>0</v>
      </c>
      <c r="E138" s="383">
        <v>0</v>
      </c>
      <c r="F138" s="384" t="s">
        <v>125</v>
      </c>
      <c r="G138" s="385">
        <v>0</v>
      </c>
      <c r="H138" s="385">
        <v>0</v>
      </c>
      <c r="I138" s="386" t="s">
        <v>125</v>
      </c>
      <c r="J138" s="387">
        <v>0.13755999999999999</v>
      </c>
      <c r="K138" s="387">
        <v>0.13755999999999999</v>
      </c>
      <c r="L138" s="388">
        <v>0</v>
      </c>
      <c r="M138" s="389" t="s">
        <v>125</v>
      </c>
      <c r="N138" s="389" t="s">
        <v>125</v>
      </c>
      <c r="O138" s="390" t="s">
        <v>125</v>
      </c>
      <c r="P138" s="379" t="s">
        <v>646</v>
      </c>
    </row>
    <row r="139" spans="1:16" x14ac:dyDescent="0.35">
      <c r="A139" s="381" t="s">
        <v>218</v>
      </c>
      <c r="B139" s="382" t="s">
        <v>117</v>
      </c>
      <c r="C139" s="382" t="s">
        <v>26</v>
      </c>
      <c r="D139" s="391">
        <v>0</v>
      </c>
      <c r="E139" s="391">
        <v>0</v>
      </c>
      <c r="F139" s="392" t="s">
        <v>125</v>
      </c>
      <c r="G139" s="393">
        <v>0</v>
      </c>
      <c r="H139" s="393">
        <v>0</v>
      </c>
      <c r="I139" s="394" t="s">
        <v>125</v>
      </c>
      <c r="J139" s="395">
        <v>8.5975000000000001</v>
      </c>
      <c r="K139" s="395">
        <v>8.5975000000000001</v>
      </c>
      <c r="L139" s="396">
        <v>0</v>
      </c>
      <c r="M139" s="397" t="s">
        <v>125</v>
      </c>
      <c r="N139" s="397" t="s">
        <v>125</v>
      </c>
      <c r="O139" s="398" t="s">
        <v>125</v>
      </c>
      <c r="P139" s="534" t="s">
        <v>646</v>
      </c>
    </row>
    <row r="140" spans="1:16" x14ac:dyDescent="0.35">
      <c r="A140" s="374" t="s">
        <v>218</v>
      </c>
      <c r="B140" s="377" t="s">
        <v>250</v>
      </c>
      <c r="C140" s="377" t="s">
        <v>36</v>
      </c>
      <c r="D140" s="383">
        <v>0</v>
      </c>
      <c r="E140" s="383">
        <v>0</v>
      </c>
      <c r="F140" s="384" t="s">
        <v>125</v>
      </c>
      <c r="G140" s="385">
        <v>0</v>
      </c>
      <c r="H140" s="385">
        <v>0</v>
      </c>
      <c r="I140" s="386" t="s">
        <v>125</v>
      </c>
      <c r="J140" s="387">
        <v>0.13755999999999999</v>
      </c>
      <c r="K140" s="387">
        <v>0.13755999999999999</v>
      </c>
      <c r="L140" s="388">
        <v>0</v>
      </c>
      <c r="M140" s="389" t="s">
        <v>125</v>
      </c>
      <c r="N140" s="389" t="s">
        <v>125</v>
      </c>
      <c r="O140" s="390" t="s">
        <v>125</v>
      </c>
      <c r="P140" s="379" t="s">
        <v>646</v>
      </c>
    </row>
    <row r="141" spans="1:16" x14ac:dyDescent="0.35">
      <c r="A141" s="381" t="s">
        <v>72</v>
      </c>
      <c r="B141" s="382" t="s">
        <v>82</v>
      </c>
      <c r="C141" s="382" t="s">
        <v>34</v>
      </c>
      <c r="D141" s="391">
        <v>0</v>
      </c>
      <c r="E141" s="391">
        <v>0</v>
      </c>
      <c r="F141" s="392" t="s">
        <v>125</v>
      </c>
      <c r="G141" s="393">
        <v>0</v>
      </c>
      <c r="H141" s="393">
        <v>0</v>
      </c>
      <c r="I141" s="394" t="s">
        <v>125</v>
      </c>
      <c r="J141" s="395">
        <v>0</v>
      </c>
      <c r="K141" s="395">
        <v>0</v>
      </c>
      <c r="L141" s="396" t="s">
        <v>125</v>
      </c>
      <c r="M141" s="397" t="s">
        <v>125</v>
      </c>
      <c r="N141" s="397" t="s">
        <v>125</v>
      </c>
      <c r="O141" s="398" t="s">
        <v>125</v>
      </c>
      <c r="P141" s="534" t="s">
        <v>646</v>
      </c>
    </row>
    <row r="142" spans="1:16" x14ac:dyDescent="0.35">
      <c r="A142" s="374" t="s">
        <v>72</v>
      </c>
      <c r="B142" s="377" t="s">
        <v>32</v>
      </c>
      <c r="C142" s="377" t="s">
        <v>34</v>
      </c>
      <c r="D142" s="383">
        <v>0</v>
      </c>
      <c r="E142" s="383">
        <v>0</v>
      </c>
      <c r="F142" s="384" t="s">
        <v>125</v>
      </c>
      <c r="G142" s="385">
        <v>0</v>
      </c>
      <c r="H142" s="385">
        <v>0</v>
      </c>
      <c r="I142" s="386" t="s">
        <v>125</v>
      </c>
      <c r="J142" s="387">
        <v>5.9676199999999999E-2</v>
      </c>
      <c r="K142" s="387">
        <v>7.1333300000000002E-2</v>
      </c>
      <c r="L142" s="388">
        <v>-0.1634173660828814</v>
      </c>
      <c r="M142" s="389" t="s">
        <v>125</v>
      </c>
      <c r="N142" s="389" t="s">
        <v>125</v>
      </c>
      <c r="O142" s="390" t="s">
        <v>125</v>
      </c>
      <c r="P142" s="379" t="s">
        <v>644</v>
      </c>
    </row>
    <row r="143" spans="1:16" x14ac:dyDescent="0.35">
      <c r="A143" s="381" t="s">
        <v>72</v>
      </c>
      <c r="B143" s="382" t="s">
        <v>426</v>
      </c>
      <c r="C143" s="382" t="s">
        <v>34</v>
      </c>
      <c r="D143" s="391">
        <v>0</v>
      </c>
      <c r="E143" s="391">
        <v>0</v>
      </c>
      <c r="F143" s="392" t="s">
        <v>125</v>
      </c>
      <c r="G143" s="393">
        <v>0</v>
      </c>
      <c r="H143" s="393">
        <v>0</v>
      </c>
      <c r="I143" s="394" t="s">
        <v>125</v>
      </c>
      <c r="J143" s="395">
        <v>0.16417570000000001</v>
      </c>
      <c r="K143" s="395">
        <v>0.16600000000000001</v>
      </c>
      <c r="L143" s="396">
        <v>-1.0989759036144584E-2</v>
      </c>
      <c r="M143" s="397" t="s">
        <v>125</v>
      </c>
      <c r="N143" s="397" t="s">
        <v>125</v>
      </c>
      <c r="O143" s="398" t="s">
        <v>125</v>
      </c>
      <c r="P143" s="534" t="s">
        <v>647</v>
      </c>
    </row>
    <row r="144" spans="1:16" x14ac:dyDescent="0.35">
      <c r="A144" s="374" t="s">
        <v>72</v>
      </c>
      <c r="B144" s="377" t="s">
        <v>427</v>
      </c>
      <c r="C144" s="377" t="s">
        <v>34</v>
      </c>
      <c r="D144" s="383">
        <v>0</v>
      </c>
      <c r="E144" s="383" t="s">
        <v>125</v>
      </c>
      <c r="F144" s="384" t="s">
        <v>125</v>
      </c>
      <c r="G144" s="385">
        <v>0</v>
      </c>
      <c r="H144" s="385" t="s">
        <v>125</v>
      </c>
      <c r="I144" s="386" t="s">
        <v>125</v>
      </c>
      <c r="J144" s="387">
        <v>0.16970469999999999</v>
      </c>
      <c r="K144" s="387" t="s">
        <v>125</v>
      </c>
      <c r="L144" s="388" t="s">
        <v>125</v>
      </c>
      <c r="M144" s="389" t="s">
        <v>125</v>
      </c>
      <c r="N144" s="389" t="s">
        <v>125</v>
      </c>
      <c r="O144" s="390" t="s">
        <v>125</v>
      </c>
      <c r="P144" s="379" t="s">
        <v>377</v>
      </c>
    </row>
    <row r="145" spans="1:16" x14ac:dyDescent="0.35">
      <c r="A145" s="381" t="s">
        <v>72</v>
      </c>
      <c r="B145" s="382" t="s">
        <v>428</v>
      </c>
      <c r="C145" s="382" t="s">
        <v>34</v>
      </c>
      <c r="D145" s="391">
        <v>0</v>
      </c>
      <c r="E145" s="391" t="s">
        <v>125</v>
      </c>
      <c r="F145" s="392" t="s">
        <v>125</v>
      </c>
      <c r="G145" s="393">
        <v>0</v>
      </c>
      <c r="H145" s="393" t="s">
        <v>125</v>
      </c>
      <c r="I145" s="394" t="s">
        <v>125</v>
      </c>
      <c r="J145" s="395">
        <v>6.9548399999999996E-2</v>
      </c>
      <c r="K145" s="395" t="s">
        <v>125</v>
      </c>
      <c r="L145" s="396" t="s">
        <v>125</v>
      </c>
      <c r="M145" s="397" t="s">
        <v>125</v>
      </c>
      <c r="N145" s="397" t="s">
        <v>125</v>
      </c>
      <c r="O145" s="398" t="s">
        <v>125</v>
      </c>
      <c r="P145" s="534" t="s">
        <v>377</v>
      </c>
    </row>
    <row r="146" spans="1:16" x14ac:dyDescent="0.35">
      <c r="A146" s="374" t="s">
        <v>72</v>
      </c>
      <c r="B146" s="377" t="s">
        <v>31</v>
      </c>
      <c r="C146" s="377" t="s">
        <v>34</v>
      </c>
      <c r="D146" s="383">
        <v>0</v>
      </c>
      <c r="E146" s="383">
        <v>0</v>
      </c>
      <c r="F146" s="384" t="s">
        <v>125</v>
      </c>
      <c r="G146" s="385">
        <v>0</v>
      </c>
      <c r="H146" s="385">
        <v>0</v>
      </c>
      <c r="I146" s="386" t="s">
        <v>125</v>
      </c>
      <c r="J146" s="387">
        <v>2.99741E-2</v>
      </c>
      <c r="K146" s="387">
        <v>3.1E-2</v>
      </c>
      <c r="L146" s="388">
        <v>-3.3093548387096765E-2</v>
      </c>
      <c r="M146" s="389" t="s">
        <v>125</v>
      </c>
      <c r="N146" s="389" t="s">
        <v>125</v>
      </c>
      <c r="O146" s="390" t="s">
        <v>125</v>
      </c>
      <c r="P146" s="379" t="s">
        <v>644</v>
      </c>
    </row>
    <row r="147" spans="1:16" x14ac:dyDescent="0.35">
      <c r="A147" s="381" t="s">
        <v>72</v>
      </c>
      <c r="B147" s="382" t="s">
        <v>33</v>
      </c>
      <c r="C147" s="382" t="s">
        <v>34</v>
      </c>
      <c r="D147" s="391">
        <v>0</v>
      </c>
      <c r="E147" s="391">
        <v>0</v>
      </c>
      <c r="F147" s="392" t="s">
        <v>125</v>
      </c>
      <c r="G147" s="393">
        <v>0</v>
      </c>
      <c r="H147" s="393">
        <v>0</v>
      </c>
      <c r="I147" s="394" t="s">
        <v>125</v>
      </c>
      <c r="J147" s="395">
        <v>2.5660700000000002E-2</v>
      </c>
      <c r="K147" s="395">
        <v>3.1E-2</v>
      </c>
      <c r="L147" s="396">
        <v>-0.17223548387096768</v>
      </c>
      <c r="M147" s="397" t="s">
        <v>125</v>
      </c>
      <c r="N147" s="397" t="s">
        <v>125</v>
      </c>
      <c r="O147" s="398" t="s">
        <v>125</v>
      </c>
      <c r="P147" s="534" t="s">
        <v>644</v>
      </c>
    </row>
    <row r="148" spans="1:16" x14ac:dyDescent="0.35">
      <c r="A148" s="374" t="s">
        <v>72</v>
      </c>
      <c r="B148" s="377" t="s">
        <v>474</v>
      </c>
      <c r="C148" s="377" t="s">
        <v>34</v>
      </c>
      <c r="D148" s="383">
        <v>0</v>
      </c>
      <c r="E148" s="383">
        <v>0</v>
      </c>
      <c r="F148" s="384" t="s">
        <v>125</v>
      </c>
      <c r="G148" s="385">
        <v>0</v>
      </c>
      <c r="H148" s="385">
        <v>0</v>
      </c>
      <c r="I148" s="386" t="s">
        <v>125</v>
      </c>
      <c r="J148" s="387">
        <v>0.16902</v>
      </c>
      <c r="K148" s="387">
        <v>0.16098000000000001</v>
      </c>
      <c r="L148" s="388">
        <v>4.9944092433842659E-2</v>
      </c>
      <c r="M148" s="389" t="s">
        <v>125</v>
      </c>
      <c r="N148" s="389" t="s">
        <v>125</v>
      </c>
      <c r="O148" s="390" t="s">
        <v>125</v>
      </c>
      <c r="P148" s="379" t="s">
        <v>648</v>
      </c>
    </row>
    <row r="149" spans="1:16" x14ac:dyDescent="0.35">
      <c r="A149" s="381" t="s">
        <v>72</v>
      </c>
      <c r="B149" s="382" t="s">
        <v>477</v>
      </c>
      <c r="C149" s="382" t="s">
        <v>34</v>
      </c>
      <c r="D149" s="391">
        <v>0</v>
      </c>
      <c r="E149" s="391">
        <v>0</v>
      </c>
      <c r="F149" s="392" t="s">
        <v>125</v>
      </c>
      <c r="G149" s="393">
        <v>0</v>
      </c>
      <c r="H149" s="393">
        <v>0</v>
      </c>
      <c r="I149" s="394" t="s">
        <v>125</v>
      </c>
      <c r="J149" s="395">
        <v>9.8449999999999996E-2</v>
      </c>
      <c r="K149" s="395">
        <v>0.10974</v>
      </c>
      <c r="L149" s="396">
        <v>-0.10287953344268277</v>
      </c>
      <c r="M149" s="397" t="s">
        <v>125</v>
      </c>
      <c r="N149" s="397" t="s">
        <v>125</v>
      </c>
      <c r="O149" s="398" t="s">
        <v>125</v>
      </c>
      <c r="P149" s="534" t="s">
        <v>649</v>
      </c>
    </row>
    <row r="150" spans="1:16" x14ac:dyDescent="0.35">
      <c r="A150" s="374" t="s">
        <v>72</v>
      </c>
      <c r="B150" s="377" t="s">
        <v>479</v>
      </c>
      <c r="C150" s="377" t="s">
        <v>34</v>
      </c>
      <c r="D150" s="383">
        <v>0</v>
      </c>
      <c r="E150" s="383" t="s">
        <v>125</v>
      </c>
      <c r="F150" s="384" t="s">
        <v>125</v>
      </c>
      <c r="G150" s="385">
        <v>0</v>
      </c>
      <c r="H150" s="385" t="s">
        <v>125</v>
      </c>
      <c r="I150" s="386" t="s">
        <v>125</v>
      </c>
      <c r="J150" s="387">
        <v>9.6839999999999996E-2</v>
      </c>
      <c r="K150" s="387" t="s">
        <v>125</v>
      </c>
      <c r="L150" s="388" t="s">
        <v>125</v>
      </c>
      <c r="M150" s="389" t="s">
        <v>125</v>
      </c>
      <c r="N150" s="389" t="s">
        <v>125</v>
      </c>
      <c r="O150" s="390" t="s">
        <v>125</v>
      </c>
      <c r="P150" s="379" t="s">
        <v>377</v>
      </c>
    </row>
    <row r="151" spans="1:16" x14ac:dyDescent="0.35">
      <c r="A151" s="381" t="s">
        <v>72</v>
      </c>
      <c r="B151" s="382" t="s">
        <v>480</v>
      </c>
      <c r="C151" s="382" t="s">
        <v>34</v>
      </c>
      <c r="D151" s="391">
        <v>0</v>
      </c>
      <c r="E151" s="391" t="s">
        <v>125</v>
      </c>
      <c r="F151" s="392" t="s">
        <v>125</v>
      </c>
      <c r="G151" s="393">
        <v>0</v>
      </c>
      <c r="H151" s="393" t="s">
        <v>125</v>
      </c>
      <c r="I151" s="394" t="s">
        <v>125</v>
      </c>
      <c r="J151" s="395">
        <v>0.14524999999999999</v>
      </c>
      <c r="K151" s="395" t="s">
        <v>125</v>
      </c>
      <c r="L151" s="396" t="s">
        <v>125</v>
      </c>
      <c r="M151" s="397" t="s">
        <v>125</v>
      </c>
      <c r="N151" s="397" t="s">
        <v>125</v>
      </c>
      <c r="O151" s="398" t="s">
        <v>125</v>
      </c>
      <c r="P151" s="534" t="s">
        <v>377</v>
      </c>
    </row>
    <row r="152" spans="1:16" x14ac:dyDescent="0.35">
      <c r="A152" s="374" t="s">
        <v>72</v>
      </c>
      <c r="B152" s="377" t="s">
        <v>478</v>
      </c>
      <c r="C152" s="377" t="s">
        <v>34</v>
      </c>
      <c r="D152" s="383">
        <v>0</v>
      </c>
      <c r="E152" s="383">
        <v>0</v>
      </c>
      <c r="F152" s="384" t="s">
        <v>125</v>
      </c>
      <c r="G152" s="385">
        <v>0</v>
      </c>
      <c r="H152" s="385">
        <v>0</v>
      </c>
      <c r="I152" s="386" t="s">
        <v>125</v>
      </c>
      <c r="J152" s="387">
        <v>0.12256</v>
      </c>
      <c r="K152" s="387">
        <v>0.15423000000000001</v>
      </c>
      <c r="L152" s="388">
        <v>-0.20534267003825457</v>
      </c>
      <c r="M152" s="389" t="s">
        <v>125</v>
      </c>
      <c r="N152" s="389" t="s">
        <v>125</v>
      </c>
      <c r="O152" s="390" t="s">
        <v>125</v>
      </c>
      <c r="P152" s="379" t="s">
        <v>650</v>
      </c>
    </row>
    <row r="153" spans="1:16" x14ac:dyDescent="0.35">
      <c r="A153" s="381" t="s">
        <v>72</v>
      </c>
      <c r="B153" s="382" t="s">
        <v>481</v>
      </c>
      <c r="C153" s="382" t="s">
        <v>34</v>
      </c>
      <c r="D153" s="391">
        <v>0</v>
      </c>
      <c r="E153" s="391" t="s">
        <v>125</v>
      </c>
      <c r="F153" s="392" t="s">
        <v>125</v>
      </c>
      <c r="G153" s="393">
        <v>0</v>
      </c>
      <c r="H153" s="393" t="s">
        <v>125</v>
      </c>
      <c r="I153" s="394" t="s">
        <v>125</v>
      </c>
      <c r="J153" s="395">
        <v>9.3869999999999995E-2</v>
      </c>
      <c r="K153" s="395" t="s">
        <v>125</v>
      </c>
      <c r="L153" s="396" t="s">
        <v>125</v>
      </c>
      <c r="M153" s="397" t="s">
        <v>125</v>
      </c>
      <c r="N153" s="397" t="s">
        <v>125</v>
      </c>
      <c r="O153" s="398" t="s">
        <v>125</v>
      </c>
      <c r="P153" s="534" t="s">
        <v>377</v>
      </c>
    </row>
    <row r="154" spans="1:16" x14ac:dyDescent="0.35">
      <c r="A154" s="374" t="s">
        <v>72</v>
      </c>
      <c r="B154" s="377" t="s">
        <v>482</v>
      </c>
      <c r="C154" s="377" t="s">
        <v>34</v>
      </c>
      <c r="D154" s="383">
        <v>0</v>
      </c>
      <c r="E154" s="383" t="s">
        <v>125</v>
      </c>
      <c r="F154" s="384" t="s">
        <v>125</v>
      </c>
      <c r="G154" s="385">
        <v>0</v>
      </c>
      <c r="H154" s="385" t="s">
        <v>125</v>
      </c>
      <c r="I154" s="386" t="s">
        <v>125</v>
      </c>
      <c r="J154" s="387">
        <v>0.2722</v>
      </c>
      <c r="K154" s="387" t="s">
        <v>125</v>
      </c>
      <c r="L154" s="388" t="s">
        <v>125</v>
      </c>
      <c r="M154" s="389" t="s">
        <v>125</v>
      </c>
      <c r="N154" s="389" t="s">
        <v>125</v>
      </c>
      <c r="O154" s="390" t="s">
        <v>125</v>
      </c>
      <c r="P154" s="379" t="s">
        <v>377</v>
      </c>
    </row>
    <row r="155" spans="1:16" x14ac:dyDescent="0.35">
      <c r="A155" s="381" t="s">
        <v>47</v>
      </c>
      <c r="B155" s="382" t="s">
        <v>37</v>
      </c>
      <c r="C155" s="382" t="s">
        <v>38</v>
      </c>
      <c r="D155" s="391">
        <v>0</v>
      </c>
      <c r="E155" s="391">
        <v>0</v>
      </c>
      <c r="F155" s="392" t="s">
        <v>125</v>
      </c>
      <c r="G155" s="393">
        <v>0</v>
      </c>
      <c r="H155" s="393">
        <v>0</v>
      </c>
      <c r="I155" s="394" t="s">
        <v>125</v>
      </c>
      <c r="J155" s="395">
        <v>0.13558000000000001</v>
      </c>
      <c r="K155" s="395">
        <v>0.10954560000000001</v>
      </c>
      <c r="L155" s="396">
        <v>0.2376581076738819</v>
      </c>
      <c r="M155" s="397" t="s">
        <v>125</v>
      </c>
      <c r="N155" s="397" t="s">
        <v>125</v>
      </c>
      <c r="O155" s="398" t="s">
        <v>125</v>
      </c>
      <c r="P155" s="534" t="s">
        <v>644</v>
      </c>
    </row>
    <row r="156" spans="1:16" x14ac:dyDescent="0.35">
      <c r="A156" s="374" t="s">
        <v>47</v>
      </c>
      <c r="B156" s="377" t="s">
        <v>130</v>
      </c>
      <c r="C156" s="377" t="s">
        <v>63</v>
      </c>
      <c r="D156" s="383">
        <v>0</v>
      </c>
      <c r="E156" s="383">
        <v>0</v>
      </c>
      <c r="F156" s="384" t="s">
        <v>125</v>
      </c>
      <c r="G156" s="385">
        <v>0</v>
      </c>
      <c r="H156" s="385">
        <v>0</v>
      </c>
      <c r="I156" s="386" t="s">
        <v>125</v>
      </c>
      <c r="J156" s="387">
        <v>1</v>
      </c>
      <c r="K156" s="387">
        <v>1</v>
      </c>
      <c r="L156" s="388">
        <v>0</v>
      </c>
      <c r="M156" s="389" t="s">
        <v>125</v>
      </c>
      <c r="N156" s="389" t="s">
        <v>125</v>
      </c>
      <c r="O156" s="390" t="s">
        <v>125</v>
      </c>
      <c r="P156" s="379" t="s">
        <v>646</v>
      </c>
    </row>
    <row r="159" spans="1:16" ht="18.5" x14ac:dyDescent="0.45">
      <c r="A159" s="308" t="s">
        <v>111</v>
      </c>
    </row>
    <row r="160" spans="1:16" ht="18.5" x14ac:dyDescent="0.35">
      <c r="D160" s="698" t="s">
        <v>241</v>
      </c>
      <c r="E160" s="699"/>
      <c r="F160" s="700"/>
      <c r="G160" s="701" t="s">
        <v>242</v>
      </c>
      <c r="H160" s="702"/>
      <c r="I160" s="703"/>
      <c r="J160" s="704" t="s">
        <v>212</v>
      </c>
      <c r="K160" s="705"/>
      <c r="L160" s="706"/>
      <c r="M160" s="708" t="s">
        <v>213</v>
      </c>
      <c r="N160" s="709"/>
      <c r="O160" s="710"/>
    </row>
    <row r="161" spans="1:16" ht="44" thickBot="1" x14ac:dyDescent="0.4">
      <c r="A161" s="373" t="s">
        <v>0</v>
      </c>
      <c r="B161" s="376" t="s">
        <v>1</v>
      </c>
      <c r="C161" s="376" t="s">
        <v>53</v>
      </c>
      <c r="D161" s="301" t="s">
        <v>652</v>
      </c>
      <c r="E161" s="301" t="s">
        <v>653</v>
      </c>
      <c r="F161" s="301" t="s">
        <v>366</v>
      </c>
      <c r="G161" s="302" t="s">
        <v>654</v>
      </c>
      <c r="H161" s="302" t="s">
        <v>655</v>
      </c>
      <c r="I161" s="302" t="s">
        <v>367</v>
      </c>
      <c r="J161" s="303" t="s">
        <v>656</v>
      </c>
      <c r="K161" s="303" t="s">
        <v>657</v>
      </c>
      <c r="L161" s="303" t="s">
        <v>371</v>
      </c>
      <c r="M161" s="304" t="s">
        <v>658</v>
      </c>
      <c r="N161" s="305" t="s">
        <v>659</v>
      </c>
      <c r="O161" s="305" t="s">
        <v>372</v>
      </c>
      <c r="P161" s="306" t="s">
        <v>370</v>
      </c>
    </row>
    <row r="162" spans="1:16" s="15" customFormat="1" ht="15" thickTop="1" x14ac:dyDescent="0.35">
      <c r="A162" s="381" t="s">
        <v>48</v>
      </c>
      <c r="B162" s="382" t="s">
        <v>351</v>
      </c>
      <c r="C162" s="382" t="s">
        <v>362</v>
      </c>
      <c r="D162" s="399">
        <v>0</v>
      </c>
      <c r="E162" s="399">
        <v>0</v>
      </c>
      <c r="F162" s="400" t="s">
        <v>125</v>
      </c>
      <c r="G162" s="401">
        <v>0</v>
      </c>
      <c r="H162" s="401">
        <v>0</v>
      </c>
      <c r="I162" s="402" t="s">
        <v>125</v>
      </c>
      <c r="J162" s="403">
        <v>270.33</v>
      </c>
      <c r="K162" s="403">
        <v>270.33</v>
      </c>
      <c r="L162" s="404">
        <v>0</v>
      </c>
      <c r="M162" s="405">
        <v>4.6856799999999996</v>
      </c>
      <c r="N162" s="405">
        <v>6.4106100000000001</v>
      </c>
      <c r="O162" s="406">
        <v>-0.26907423786503942</v>
      </c>
      <c r="P162" s="535"/>
    </row>
    <row r="163" spans="1:16" x14ac:dyDescent="0.35">
      <c r="A163" s="374" t="s">
        <v>48</v>
      </c>
      <c r="B163" s="377" t="s">
        <v>378</v>
      </c>
      <c r="C163" s="377" t="s">
        <v>375</v>
      </c>
      <c r="D163" s="383">
        <v>0</v>
      </c>
      <c r="E163" s="383">
        <v>0</v>
      </c>
      <c r="F163" s="384" t="s">
        <v>125</v>
      </c>
      <c r="G163" s="385">
        <v>0</v>
      </c>
      <c r="H163" s="385">
        <v>0</v>
      </c>
      <c r="I163" s="386" t="s">
        <v>125</v>
      </c>
      <c r="J163" s="387">
        <v>91.91</v>
      </c>
      <c r="K163" s="387">
        <v>91.91</v>
      </c>
      <c r="L163" s="388">
        <v>0</v>
      </c>
      <c r="M163" s="389">
        <v>1.5931311999999997</v>
      </c>
      <c r="N163" s="389">
        <v>2.1796074000000001</v>
      </c>
      <c r="O163" s="390">
        <v>-0.26907423786503953</v>
      </c>
      <c r="P163" s="536"/>
    </row>
    <row r="164" spans="1:16" x14ac:dyDescent="0.35">
      <c r="A164" s="381" t="s">
        <v>48</v>
      </c>
      <c r="B164" s="382" t="s">
        <v>352</v>
      </c>
      <c r="C164" s="382" t="s">
        <v>362</v>
      </c>
      <c r="D164" s="391">
        <v>0</v>
      </c>
      <c r="E164" s="391">
        <v>0</v>
      </c>
      <c r="F164" s="392" t="s">
        <v>125</v>
      </c>
      <c r="G164" s="393">
        <v>0</v>
      </c>
      <c r="H164" s="393">
        <v>0</v>
      </c>
      <c r="I164" s="394" t="s">
        <v>125</v>
      </c>
      <c r="J164" s="395">
        <v>8513.9500000000007</v>
      </c>
      <c r="K164" s="395">
        <v>8216.69</v>
      </c>
      <c r="L164" s="396">
        <v>3.6177584891239685E-2</v>
      </c>
      <c r="M164" s="397">
        <v>1.0083500000000001</v>
      </c>
      <c r="N164" s="397">
        <v>0.98485</v>
      </c>
      <c r="O164" s="398">
        <v>2.3861501751535844E-2</v>
      </c>
      <c r="P164" s="535"/>
    </row>
    <row r="165" spans="1:16" x14ac:dyDescent="0.35">
      <c r="A165" s="374" t="s">
        <v>48</v>
      </c>
      <c r="B165" s="377" t="s">
        <v>379</v>
      </c>
      <c r="C165" s="377" t="s">
        <v>375</v>
      </c>
      <c r="D165" s="383">
        <v>0</v>
      </c>
      <c r="E165" s="383">
        <v>0</v>
      </c>
      <c r="F165" s="384" t="s">
        <v>125</v>
      </c>
      <c r="G165" s="385">
        <v>0</v>
      </c>
      <c r="H165" s="385">
        <v>0</v>
      </c>
      <c r="I165" s="386" t="s">
        <v>125</v>
      </c>
      <c r="J165" s="387">
        <v>851.4</v>
      </c>
      <c r="K165" s="387">
        <v>821.67</v>
      </c>
      <c r="L165" s="388">
        <v>3.6182408996312414E-2</v>
      </c>
      <c r="M165" s="389">
        <v>0.10083500000000001</v>
      </c>
      <c r="N165" s="389">
        <v>9.8485000000000003E-2</v>
      </c>
      <c r="O165" s="390">
        <v>2.3861501751535816E-2</v>
      </c>
      <c r="P165" s="536"/>
    </row>
    <row r="166" spans="1:16" x14ac:dyDescent="0.35">
      <c r="A166" s="381" t="s">
        <v>48</v>
      </c>
      <c r="B166" s="382" t="s">
        <v>353</v>
      </c>
      <c r="C166" s="382" t="s">
        <v>362</v>
      </c>
      <c r="D166" s="391">
        <v>0</v>
      </c>
      <c r="E166" s="391">
        <v>0</v>
      </c>
      <c r="F166" s="392" t="s">
        <v>125</v>
      </c>
      <c r="G166" s="393">
        <v>0</v>
      </c>
      <c r="H166" s="393">
        <v>0</v>
      </c>
      <c r="I166" s="394" t="s">
        <v>125</v>
      </c>
      <c r="J166" s="395">
        <v>1661.82</v>
      </c>
      <c r="K166" s="395">
        <v>1661.82</v>
      </c>
      <c r="L166" s="396">
        <v>0</v>
      </c>
      <c r="M166" s="397">
        <v>4.6856799999999996</v>
      </c>
      <c r="N166" s="397">
        <v>6.4106100000000001</v>
      </c>
      <c r="O166" s="398">
        <v>-0.26907423786503942</v>
      </c>
      <c r="P166" s="535"/>
    </row>
    <row r="167" spans="1:16" x14ac:dyDescent="0.35">
      <c r="A167" s="374" t="s">
        <v>48</v>
      </c>
      <c r="B167" s="377" t="s">
        <v>380</v>
      </c>
      <c r="C167" s="377" t="s">
        <v>375</v>
      </c>
      <c r="D167" s="383">
        <v>0</v>
      </c>
      <c r="E167" s="383">
        <v>0</v>
      </c>
      <c r="F167" s="384" t="s">
        <v>125</v>
      </c>
      <c r="G167" s="385">
        <v>0</v>
      </c>
      <c r="H167" s="385">
        <v>0</v>
      </c>
      <c r="I167" s="386" t="s">
        <v>125</v>
      </c>
      <c r="J167" s="387">
        <v>2160.37</v>
      </c>
      <c r="K167" s="387">
        <v>2160.37</v>
      </c>
      <c r="L167" s="388">
        <v>0</v>
      </c>
      <c r="M167" s="389">
        <v>6.0913839999999988</v>
      </c>
      <c r="N167" s="389">
        <v>8.333793</v>
      </c>
      <c r="O167" s="390">
        <v>-0.26907423786503953</v>
      </c>
      <c r="P167" s="536"/>
    </row>
    <row r="168" spans="1:16" x14ac:dyDescent="0.35">
      <c r="A168" s="381" t="s">
        <v>48</v>
      </c>
      <c r="B168" s="382" t="s">
        <v>354</v>
      </c>
      <c r="C168" s="382" t="s">
        <v>362</v>
      </c>
      <c r="D168" s="391">
        <v>0</v>
      </c>
      <c r="E168" s="391">
        <v>0</v>
      </c>
      <c r="F168" s="392" t="s">
        <v>125</v>
      </c>
      <c r="G168" s="393">
        <v>0</v>
      </c>
      <c r="H168" s="393">
        <v>0</v>
      </c>
      <c r="I168" s="394" t="s">
        <v>125</v>
      </c>
      <c r="J168" s="395">
        <v>2368.7800000000002</v>
      </c>
      <c r="K168" s="395">
        <v>2368.7800000000002</v>
      </c>
      <c r="L168" s="396">
        <v>0</v>
      </c>
      <c r="M168" s="397">
        <v>4.6856799999999996</v>
      </c>
      <c r="N168" s="397">
        <v>6.4106100000000001</v>
      </c>
      <c r="O168" s="398">
        <v>-0.26907423786503942</v>
      </c>
      <c r="P168" s="535"/>
    </row>
    <row r="169" spans="1:16" x14ac:dyDescent="0.35">
      <c r="A169" s="374" t="s">
        <v>48</v>
      </c>
      <c r="B169" s="377" t="s">
        <v>381</v>
      </c>
      <c r="C169" s="377" t="s">
        <v>375</v>
      </c>
      <c r="D169" s="383">
        <v>0</v>
      </c>
      <c r="E169" s="383">
        <v>0</v>
      </c>
      <c r="F169" s="384" t="s">
        <v>125</v>
      </c>
      <c r="G169" s="385">
        <v>0</v>
      </c>
      <c r="H169" s="385">
        <v>0</v>
      </c>
      <c r="I169" s="386" t="s">
        <v>125</v>
      </c>
      <c r="J169" s="387">
        <v>236.88</v>
      </c>
      <c r="K169" s="387">
        <v>236.88</v>
      </c>
      <c r="L169" s="388">
        <v>0</v>
      </c>
      <c r="M169" s="389">
        <v>0.46856799999999993</v>
      </c>
      <c r="N169" s="389">
        <v>0.6410610000000001</v>
      </c>
      <c r="O169" s="390">
        <v>-0.26907423786503959</v>
      </c>
      <c r="P169" s="536"/>
    </row>
    <row r="170" spans="1:16" x14ac:dyDescent="0.35">
      <c r="A170" s="381" t="s">
        <v>48</v>
      </c>
      <c r="B170" s="382" t="s">
        <v>355</v>
      </c>
      <c r="C170" s="382" t="s">
        <v>362</v>
      </c>
      <c r="D170" s="391">
        <v>0</v>
      </c>
      <c r="E170" s="391">
        <v>0</v>
      </c>
      <c r="F170" s="392" t="s">
        <v>125</v>
      </c>
      <c r="G170" s="393">
        <v>0</v>
      </c>
      <c r="H170" s="393">
        <v>0</v>
      </c>
      <c r="I170" s="394" t="s">
        <v>125</v>
      </c>
      <c r="J170" s="395">
        <v>80695.509999999995</v>
      </c>
      <c r="K170" s="395">
        <v>80695.509999999995</v>
      </c>
      <c r="L170" s="396">
        <v>0</v>
      </c>
      <c r="M170" s="397">
        <v>4.6856799999999996</v>
      </c>
      <c r="N170" s="397">
        <v>6.4106100000000001</v>
      </c>
      <c r="O170" s="398">
        <v>-0.26907423786503942</v>
      </c>
      <c r="P170" s="535"/>
    </row>
    <row r="171" spans="1:16" x14ac:dyDescent="0.35">
      <c r="A171" s="374" t="s">
        <v>48</v>
      </c>
      <c r="B171" s="377" t="s">
        <v>356</v>
      </c>
      <c r="C171" s="377" t="s">
        <v>362</v>
      </c>
      <c r="D171" s="383">
        <v>0</v>
      </c>
      <c r="E171" s="383">
        <v>0</v>
      </c>
      <c r="F171" s="384" t="s">
        <v>125</v>
      </c>
      <c r="G171" s="385">
        <v>0</v>
      </c>
      <c r="H171" s="385">
        <v>0</v>
      </c>
      <c r="I171" s="386" t="s">
        <v>125</v>
      </c>
      <c r="J171" s="387">
        <v>3227.3</v>
      </c>
      <c r="K171" s="387">
        <v>3227.3</v>
      </c>
      <c r="L171" s="388">
        <v>0</v>
      </c>
      <c r="M171" s="389">
        <v>4.6856799999999996</v>
      </c>
      <c r="N171" s="389">
        <v>6.4106100000000001</v>
      </c>
      <c r="O171" s="390">
        <v>-0.26907423786503942</v>
      </c>
      <c r="P171" s="536"/>
    </row>
    <row r="172" spans="1:16" x14ac:dyDescent="0.35">
      <c r="A172" s="381" t="s">
        <v>48</v>
      </c>
      <c r="B172" s="382" t="s">
        <v>431</v>
      </c>
      <c r="C172" s="382" t="s">
        <v>362</v>
      </c>
      <c r="D172" s="391">
        <v>0</v>
      </c>
      <c r="E172" s="391" t="s">
        <v>125</v>
      </c>
      <c r="F172" s="392" t="s">
        <v>125</v>
      </c>
      <c r="G172" s="393">
        <v>0</v>
      </c>
      <c r="H172" s="393" t="s">
        <v>125</v>
      </c>
      <c r="I172" s="394" t="s">
        <v>125</v>
      </c>
      <c r="J172" s="395">
        <v>0</v>
      </c>
      <c r="K172" s="395" t="s">
        <v>125</v>
      </c>
      <c r="L172" s="396" t="s">
        <v>125</v>
      </c>
      <c r="M172" s="397">
        <v>5.9416000000000002</v>
      </c>
      <c r="N172" s="397" t="s">
        <v>125</v>
      </c>
      <c r="O172" s="398" t="s">
        <v>125</v>
      </c>
      <c r="P172" s="535" t="s">
        <v>377</v>
      </c>
    </row>
    <row r="173" spans="1:16" x14ac:dyDescent="0.35">
      <c r="A173" s="374" t="s">
        <v>48</v>
      </c>
      <c r="B173" s="377" t="s">
        <v>660</v>
      </c>
      <c r="C173" s="377" t="s">
        <v>375</v>
      </c>
      <c r="D173" s="383">
        <v>0</v>
      </c>
      <c r="E173" s="383" t="s">
        <v>125</v>
      </c>
      <c r="F173" s="384" t="s">
        <v>125</v>
      </c>
      <c r="G173" s="385">
        <v>0</v>
      </c>
      <c r="H173" s="385" t="s">
        <v>125</v>
      </c>
      <c r="I173" s="386" t="s">
        <v>125</v>
      </c>
      <c r="J173" s="387">
        <v>0</v>
      </c>
      <c r="K173" s="387" t="s">
        <v>125</v>
      </c>
      <c r="L173" s="388" t="s">
        <v>125</v>
      </c>
      <c r="M173" s="389">
        <v>7.7240799999999998</v>
      </c>
      <c r="N173" s="389" t="s">
        <v>125</v>
      </c>
      <c r="O173" s="390" t="s">
        <v>125</v>
      </c>
      <c r="P173" s="536" t="s">
        <v>377</v>
      </c>
    </row>
    <row r="174" spans="1:16" x14ac:dyDescent="0.35">
      <c r="A174" s="381" t="s">
        <v>48</v>
      </c>
      <c r="B174" s="382" t="s">
        <v>357</v>
      </c>
      <c r="C174" s="382" t="s">
        <v>362</v>
      </c>
      <c r="D174" s="391">
        <v>0</v>
      </c>
      <c r="E174" s="391">
        <v>0</v>
      </c>
      <c r="F174" s="392" t="s">
        <v>125</v>
      </c>
      <c r="G174" s="393">
        <v>0</v>
      </c>
      <c r="H174" s="393">
        <v>0</v>
      </c>
      <c r="I174" s="394" t="s">
        <v>125</v>
      </c>
      <c r="J174" s="395">
        <v>0</v>
      </c>
      <c r="K174" s="395">
        <v>0</v>
      </c>
      <c r="L174" s="396" t="s">
        <v>125</v>
      </c>
      <c r="M174" s="397">
        <v>4.6856799999999996</v>
      </c>
      <c r="N174" s="397">
        <v>6.4106100000000001</v>
      </c>
      <c r="O174" s="398">
        <v>-0.26907423786503942</v>
      </c>
      <c r="P174" s="535"/>
    </row>
    <row r="175" spans="1:16" x14ac:dyDescent="0.35">
      <c r="A175" s="374" t="s">
        <v>48</v>
      </c>
      <c r="B175" s="377" t="s">
        <v>382</v>
      </c>
      <c r="C175" s="377" t="s">
        <v>375</v>
      </c>
      <c r="D175" s="383">
        <v>0</v>
      </c>
      <c r="E175" s="383">
        <v>0</v>
      </c>
      <c r="F175" s="384" t="s">
        <v>125</v>
      </c>
      <c r="G175" s="385">
        <v>0</v>
      </c>
      <c r="H175" s="385">
        <v>0</v>
      </c>
      <c r="I175" s="386" t="s">
        <v>125</v>
      </c>
      <c r="J175" s="387">
        <v>0</v>
      </c>
      <c r="K175" s="387">
        <v>0</v>
      </c>
      <c r="L175" s="388" t="s">
        <v>125</v>
      </c>
      <c r="M175" s="389">
        <v>0.93713599999999986</v>
      </c>
      <c r="N175" s="389">
        <v>1.2821220000000002</v>
      </c>
      <c r="O175" s="390">
        <v>-0.26907423786503959</v>
      </c>
      <c r="P175" s="536"/>
    </row>
    <row r="176" spans="1:16" x14ac:dyDescent="0.35">
      <c r="A176" s="381" t="s">
        <v>48</v>
      </c>
      <c r="B176" s="382" t="s">
        <v>358</v>
      </c>
      <c r="C176" s="382" t="s">
        <v>362</v>
      </c>
      <c r="D176" s="391">
        <v>0</v>
      </c>
      <c r="E176" s="391">
        <v>0</v>
      </c>
      <c r="F176" s="392" t="s">
        <v>125</v>
      </c>
      <c r="G176" s="393">
        <v>0</v>
      </c>
      <c r="H176" s="393">
        <v>0</v>
      </c>
      <c r="I176" s="394" t="s">
        <v>125</v>
      </c>
      <c r="J176" s="395">
        <v>0</v>
      </c>
      <c r="K176" s="395">
        <v>0</v>
      </c>
      <c r="L176" s="396" t="s">
        <v>125</v>
      </c>
      <c r="M176" s="397">
        <v>4.6856799999999996</v>
      </c>
      <c r="N176" s="397">
        <v>6.4106100000000001</v>
      </c>
      <c r="O176" s="398">
        <v>-0.26907423786503942</v>
      </c>
      <c r="P176" s="535"/>
    </row>
    <row r="177" spans="1:16" x14ac:dyDescent="0.35">
      <c r="A177" s="374" t="s">
        <v>48</v>
      </c>
      <c r="B177" s="377" t="s">
        <v>383</v>
      </c>
      <c r="C177" s="377" t="s">
        <v>375</v>
      </c>
      <c r="D177" s="383">
        <v>0</v>
      </c>
      <c r="E177" s="383">
        <v>0</v>
      </c>
      <c r="F177" s="384" t="s">
        <v>125</v>
      </c>
      <c r="G177" s="385">
        <v>0</v>
      </c>
      <c r="H177" s="385">
        <v>0</v>
      </c>
      <c r="I177" s="386" t="s">
        <v>125</v>
      </c>
      <c r="J177" s="387">
        <v>0</v>
      </c>
      <c r="K177" s="387">
        <v>0</v>
      </c>
      <c r="L177" s="388" t="s">
        <v>125</v>
      </c>
      <c r="M177" s="389">
        <v>0.14057039999999998</v>
      </c>
      <c r="N177" s="389">
        <v>0.19231830000000003</v>
      </c>
      <c r="O177" s="390">
        <v>-0.26907423786503953</v>
      </c>
      <c r="P177" s="536"/>
    </row>
    <row r="178" spans="1:16" x14ac:dyDescent="0.35">
      <c r="A178" s="381" t="s">
        <v>48</v>
      </c>
      <c r="B178" s="382" t="s">
        <v>359</v>
      </c>
      <c r="C178" s="382" t="s">
        <v>362</v>
      </c>
      <c r="D178" s="391">
        <v>0</v>
      </c>
      <c r="E178" s="391">
        <v>0</v>
      </c>
      <c r="F178" s="392" t="s">
        <v>125</v>
      </c>
      <c r="G178" s="393">
        <v>0</v>
      </c>
      <c r="H178" s="393">
        <v>0</v>
      </c>
      <c r="I178" s="394" t="s">
        <v>125</v>
      </c>
      <c r="J178" s="395">
        <v>0</v>
      </c>
      <c r="K178" s="395">
        <v>0</v>
      </c>
      <c r="L178" s="396" t="s">
        <v>125</v>
      </c>
      <c r="M178" s="397">
        <v>4.6856799999999996</v>
      </c>
      <c r="N178" s="397">
        <v>6.4106100000000001</v>
      </c>
      <c r="O178" s="398">
        <v>-0.26907423786503942</v>
      </c>
      <c r="P178" s="535"/>
    </row>
    <row r="179" spans="1:16" x14ac:dyDescent="0.35">
      <c r="A179" s="374" t="s">
        <v>48</v>
      </c>
      <c r="B179" s="377" t="s">
        <v>384</v>
      </c>
      <c r="C179" s="377" t="s">
        <v>375</v>
      </c>
      <c r="D179" s="383">
        <v>0</v>
      </c>
      <c r="E179" s="383">
        <v>0</v>
      </c>
      <c r="F179" s="384" t="s">
        <v>125</v>
      </c>
      <c r="G179" s="385">
        <v>0</v>
      </c>
      <c r="H179" s="385">
        <v>0</v>
      </c>
      <c r="I179" s="386" t="s">
        <v>125</v>
      </c>
      <c r="J179" s="387">
        <v>0</v>
      </c>
      <c r="K179" s="387">
        <v>0</v>
      </c>
      <c r="L179" s="388" t="s">
        <v>125</v>
      </c>
      <c r="M179" s="389">
        <v>0.46856799999999993</v>
      </c>
      <c r="N179" s="389">
        <v>0.6410610000000001</v>
      </c>
      <c r="O179" s="390">
        <v>-0.26907423786503959</v>
      </c>
      <c r="P179" s="536"/>
    </row>
    <row r="180" spans="1:16" x14ac:dyDescent="0.35">
      <c r="A180" s="381" t="s">
        <v>48</v>
      </c>
      <c r="B180" s="382" t="s">
        <v>360</v>
      </c>
      <c r="C180" s="382" t="s">
        <v>362</v>
      </c>
      <c r="D180" s="391">
        <v>0</v>
      </c>
      <c r="E180" s="391">
        <v>0</v>
      </c>
      <c r="F180" s="392" t="s">
        <v>125</v>
      </c>
      <c r="G180" s="393">
        <v>0</v>
      </c>
      <c r="H180" s="393">
        <v>0</v>
      </c>
      <c r="I180" s="394" t="s">
        <v>125</v>
      </c>
      <c r="J180" s="395">
        <v>0</v>
      </c>
      <c r="K180" s="395">
        <v>0</v>
      </c>
      <c r="L180" s="396" t="s">
        <v>125</v>
      </c>
      <c r="M180" s="397">
        <v>8.9831099999999999</v>
      </c>
      <c r="N180" s="397">
        <v>8.8838600000000003</v>
      </c>
      <c r="O180" s="398">
        <v>1.1171945528182526E-2</v>
      </c>
      <c r="P180" s="535"/>
    </row>
    <row r="181" spans="1:16" x14ac:dyDescent="0.35">
      <c r="A181" s="374" t="s">
        <v>48</v>
      </c>
      <c r="B181" s="377" t="s">
        <v>385</v>
      </c>
      <c r="C181" s="377" t="s">
        <v>375</v>
      </c>
      <c r="D181" s="383">
        <v>0</v>
      </c>
      <c r="E181" s="383">
        <v>0</v>
      </c>
      <c r="F181" s="384" t="s">
        <v>125</v>
      </c>
      <c r="G181" s="385">
        <v>0</v>
      </c>
      <c r="H181" s="385">
        <v>0</v>
      </c>
      <c r="I181" s="386" t="s">
        <v>125</v>
      </c>
      <c r="J181" s="387">
        <v>0</v>
      </c>
      <c r="K181" s="387">
        <v>0</v>
      </c>
      <c r="L181" s="388" t="s">
        <v>125</v>
      </c>
      <c r="M181" s="389">
        <v>2.2457775</v>
      </c>
      <c r="N181" s="389">
        <v>2.2209650000000001</v>
      </c>
      <c r="O181" s="390">
        <v>1.1171945528182526E-2</v>
      </c>
      <c r="P181" s="536"/>
    </row>
    <row r="182" spans="1:16" x14ac:dyDescent="0.35">
      <c r="A182" s="381" t="s">
        <v>48</v>
      </c>
      <c r="B182" s="382" t="s">
        <v>361</v>
      </c>
      <c r="C182" s="382" t="s">
        <v>362</v>
      </c>
      <c r="D182" s="391">
        <v>0</v>
      </c>
      <c r="E182" s="391">
        <v>0</v>
      </c>
      <c r="F182" s="392" t="s">
        <v>125</v>
      </c>
      <c r="G182" s="393">
        <v>0</v>
      </c>
      <c r="H182" s="393">
        <v>0</v>
      </c>
      <c r="I182" s="394" t="s">
        <v>125</v>
      </c>
      <c r="J182" s="395">
        <v>0</v>
      </c>
      <c r="K182" s="395">
        <v>0</v>
      </c>
      <c r="L182" s="396" t="s">
        <v>125</v>
      </c>
      <c r="M182" s="397">
        <v>4.6856799999999996</v>
      </c>
      <c r="N182" s="397">
        <v>6.4106100000000001</v>
      </c>
      <c r="O182" s="398">
        <v>-0.26907423786503942</v>
      </c>
      <c r="P182" s="535"/>
    </row>
    <row r="183" spans="1:16" x14ac:dyDescent="0.35">
      <c r="A183" s="374" t="s">
        <v>48</v>
      </c>
      <c r="B183" s="377" t="s">
        <v>386</v>
      </c>
      <c r="C183" s="377" t="s">
        <v>375</v>
      </c>
      <c r="D183" s="383">
        <v>0</v>
      </c>
      <c r="E183" s="383">
        <v>0</v>
      </c>
      <c r="F183" s="384" t="s">
        <v>125</v>
      </c>
      <c r="G183" s="385">
        <v>0</v>
      </c>
      <c r="H183" s="385">
        <v>0</v>
      </c>
      <c r="I183" s="386" t="s">
        <v>125</v>
      </c>
      <c r="J183" s="387">
        <v>0</v>
      </c>
      <c r="K183" s="387">
        <v>0</v>
      </c>
      <c r="L183" s="388" t="s">
        <v>125</v>
      </c>
      <c r="M183" s="389">
        <v>1.8742719999999997</v>
      </c>
      <c r="N183" s="389">
        <v>2.5642440000000004</v>
      </c>
      <c r="O183" s="390">
        <v>-0.26907423786503959</v>
      </c>
      <c r="P183" s="536"/>
    </row>
  </sheetData>
  <sheetProtection algorithmName="SHA-512" hashValue="J015nxtSWU6JxG7FadPoNdy1t+sz9ytB3kOkNW+yEFXBkaR0khxpZ7/MjqM5JDgt3rzh+aw1CKz8N4CjwMn+eg==" saltValue="f0PJUSz5WiSxsAC/lbzqzg==" spinCount="100000" sheet="1" objects="1" scenarios="1"/>
  <mergeCells count="15">
    <mergeCell ref="M160:O160"/>
    <mergeCell ref="D12:F12"/>
    <mergeCell ref="G12:I12"/>
    <mergeCell ref="J12:L12"/>
    <mergeCell ref="M12:O12"/>
    <mergeCell ref="B3:D3"/>
    <mergeCell ref="B4:D4"/>
    <mergeCell ref="D160:F160"/>
    <mergeCell ref="G160:I160"/>
    <mergeCell ref="J160:L160"/>
    <mergeCell ref="B5:D5"/>
    <mergeCell ref="B6:D6"/>
    <mergeCell ref="B7:D7"/>
    <mergeCell ref="B8:D8"/>
    <mergeCell ref="B9:D9"/>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0766-C099-46F9-A37B-3BE480527A45}">
  <sheetPr codeName="Tabelle10">
    <tabColor rgb="FFFF0000"/>
  </sheetPr>
  <dimension ref="B2:N25"/>
  <sheetViews>
    <sheetView zoomScaleNormal="100" workbookViewId="0"/>
  </sheetViews>
  <sheetFormatPr baseColWidth="10" defaultRowHeight="14.5" x14ac:dyDescent="0.35"/>
  <cols>
    <col min="1" max="1" width="8.54296875" customWidth="1"/>
    <col min="2" max="2" width="44.81640625" bestFit="1" customWidth="1"/>
    <col min="3" max="3" width="33.1796875" customWidth="1"/>
    <col min="4" max="4" width="63.81640625" bestFit="1" customWidth="1"/>
    <col min="5" max="5" width="34.453125" bestFit="1" customWidth="1"/>
    <col min="6" max="6" width="44.1796875" bestFit="1" customWidth="1"/>
    <col min="7" max="7" width="26.453125" bestFit="1" customWidth="1"/>
    <col min="8" max="8" width="24" bestFit="1" customWidth="1"/>
    <col min="9" max="11" width="19.81640625" customWidth="1"/>
    <col min="12" max="12" width="21.1796875" bestFit="1" customWidth="1"/>
    <col min="13" max="13" width="24.1796875" bestFit="1" customWidth="1"/>
    <col min="14" max="14" width="29" customWidth="1"/>
    <col min="15" max="15" width="25.1796875" customWidth="1"/>
  </cols>
  <sheetData>
    <row r="2" spans="2:14" ht="18.5" x14ac:dyDescent="0.45">
      <c r="B2" s="5" t="s">
        <v>43</v>
      </c>
      <c r="D2" s="5" t="s">
        <v>133</v>
      </c>
      <c r="N2" s="22" t="s">
        <v>131</v>
      </c>
    </row>
    <row r="3" spans="2:14" x14ac:dyDescent="0.35">
      <c r="B3" s="2" t="s">
        <v>206</v>
      </c>
      <c r="C3" s="2"/>
      <c r="D3" s="4" t="s">
        <v>0</v>
      </c>
      <c r="E3" s="4" t="s">
        <v>191</v>
      </c>
      <c r="F3" s="4" t="s">
        <v>14</v>
      </c>
      <c r="G3" s="4" t="s">
        <v>46</v>
      </c>
      <c r="H3" s="4" t="s">
        <v>73</v>
      </c>
      <c r="I3" s="4" t="s">
        <v>121</v>
      </c>
      <c r="J3" s="4" t="s">
        <v>122</v>
      </c>
      <c r="K3" s="4" t="s">
        <v>123</v>
      </c>
      <c r="L3" s="4" t="s">
        <v>124</v>
      </c>
      <c r="N3" s="20" t="s">
        <v>132</v>
      </c>
    </row>
    <row r="4" spans="2:14" ht="20" customHeight="1" x14ac:dyDescent="0.35">
      <c r="B4" t="s">
        <v>44</v>
      </c>
      <c r="D4" t="s">
        <v>11</v>
      </c>
      <c r="E4" s="8" t="s">
        <v>315</v>
      </c>
      <c r="F4" t="s">
        <v>67</v>
      </c>
      <c r="G4" s="8" t="str">
        <f t="shared" ref="G4:G15" si="0">CONCATENATE(F4,": ",D4)</f>
        <v>Liegenschaften: Wärme</v>
      </c>
      <c r="H4" t="s">
        <v>11</v>
      </c>
      <c r="I4" s="8" t="s">
        <v>84</v>
      </c>
      <c r="J4" s="8" t="s">
        <v>85</v>
      </c>
      <c r="K4" s="8" t="s">
        <v>86</v>
      </c>
      <c r="L4" s="8" t="s">
        <v>125</v>
      </c>
      <c r="N4" s="21" t="s">
        <v>11</v>
      </c>
    </row>
    <row r="5" spans="2:14" ht="20" customHeight="1" x14ac:dyDescent="0.35">
      <c r="B5" t="s">
        <v>39</v>
      </c>
      <c r="D5" t="s">
        <v>15</v>
      </c>
      <c r="E5" s="8" t="s">
        <v>315</v>
      </c>
      <c r="F5" t="s">
        <v>67</v>
      </c>
      <c r="G5" s="8" t="str">
        <f t="shared" si="0"/>
        <v>Liegenschaften: Strom</v>
      </c>
      <c r="H5" t="s">
        <v>15</v>
      </c>
      <c r="I5" s="8" t="s">
        <v>84</v>
      </c>
      <c r="J5" s="8" t="s">
        <v>84</v>
      </c>
      <c r="K5" s="8" t="s">
        <v>86</v>
      </c>
      <c r="L5" s="8" t="s">
        <v>125</v>
      </c>
      <c r="N5" s="20" t="s">
        <v>15</v>
      </c>
    </row>
    <row r="6" spans="2:14" ht="20" customHeight="1" x14ac:dyDescent="0.35">
      <c r="B6" t="s">
        <v>40</v>
      </c>
      <c r="D6" t="s">
        <v>13</v>
      </c>
      <c r="E6" s="8" t="s">
        <v>315</v>
      </c>
      <c r="F6" t="s">
        <v>67</v>
      </c>
      <c r="G6" s="8" t="str">
        <f t="shared" si="0"/>
        <v>Liegenschaften: Kühl- und Kältemittel</v>
      </c>
      <c r="H6" t="s">
        <v>49</v>
      </c>
      <c r="I6" s="8" t="s">
        <v>87</v>
      </c>
      <c r="J6" s="8" t="s">
        <v>125</v>
      </c>
      <c r="K6" s="8" t="s">
        <v>125</v>
      </c>
      <c r="L6" s="8" t="s">
        <v>125</v>
      </c>
      <c r="N6" s="21" t="s">
        <v>49</v>
      </c>
    </row>
    <row r="7" spans="2:14" ht="20" customHeight="1" x14ac:dyDescent="0.35">
      <c r="B7" t="s">
        <v>41</v>
      </c>
      <c r="D7" t="s">
        <v>12</v>
      </c>
      <c r="E7" s="8" t="s">
        <v>315</v>
      </c>
      <c r="F7" t="s">
        <v>16</v>
      </c>
      <c r="G7" s="8" t="str">
        <f t="shared" si="0"/>
        <v>Mobilität: Fuhrpark</v>
      </c>
      <c r="H7" t="s">
        <v>12</v>
      </c>
      <c r="I7" s="8" t="s">
        <v>85</v>
      </c>
      <c r="J7" s="8" t="s">
        <v>84</v>
      </c>
      <c r="K7" s="8" t="s">
        <v>86</v>
      </c>
      <c r="L7" s="8" t="s">
        <v>125</v>
      </c>
      <c r="N7" s="20" t="s">
        <v>12</v>
      </c>
    </row>
    <row r="8" spans="2:14" ht="20" customHeight="1" x14ac:dyDescent="0.35">
      <c r="B8" t="s">
        <v>42</v>
      </c>
      <c r="D8" t="s">
        <v>18</v>
      </c>
      <c r="E8" s="8" t="s">
        <v>315</v>
      </c>
      <c r="F8" t="s">
        <v>16</v>
      </c>
      <c r="G8" s="8" t="str">
        <f t="shared" si="0"/>
        <v>Mobilität: Geschäftsreisen</v>
      </c>
      <c r="H8" t="s">
        <v>18</v>
      </c>
      <c r="I8" s="8" t="s">
        <v>125</v>
      </c>
      <c r="J8" s="8" t="s">
        <v>125</v>
      </c>
      <c r="K8" s="8" t="s">
        <v>89</v>
      </c>
      <c r="L8" s="8" t="s">
        <v>125</v>
      </c>
      <c r="N8" s="21" t="s">
        <v>18</v>
      </c>
    </row>
    <row r="9" spans="2:14" ht="20" customHeight="1" x14ac:dyDescent="0.35">
      <c r="D9" t="s">
        <v>68</v>
      </c>
      <c r="E9" s="8" t="s">
        <v>315</v>
      </c>
      <c r="F9" t="s">
        <v>16</v>
      </c>
      <c r="G9" s="8" t="str">
        <f t="shared" si="0"/>
        <v>Mobilität: Pendeln der Mitarbeitenden</v>
      </c>
      <c r="H9" t="s">
        <v>70</v>
      </c>
      <c r="I9" s="8" t="s">
        <v>125</v>
      </c>
      <c r="J9" s="8" t="s">
        <v>125</v>
      </c>
      <c r="K9" s="8" t="s">
        <v>90</v>
      </c>
      <c r="L9" s="8" t="s">
        <v>125</v>
      </c>
      <c r="N9" s="20" t="s">
        <v>70</v>
      </c>
    </row>
    <row r="10" spans="2:14" ht="20" customHeight="1" x14ac:dyDescent="0.35">
      <c r="D10" t="s">
        <v>129</v>
      </c>
      <c r="E10" s="8" t="s">
        <v>315</v>
      </c>
      <c r="F10" t="s">
        <v>16</v>
      </c>
      <c r="G10" s="8" t="str">
        <f t="shared" si="0"/>
        <v>Mobilität: Externe</v>
      </c>
      <c r="H10" t="s">
        <v>129</v>
      </c>
      <c r="I10" s="8" t="s">
        <v>125</v>
      </c>
      <c r="J10" s="8" t="s">
        <v>125</v>
      </c>
      <c r="K10" s="8" t="s">
        <v>84</v>
      </c>
      <c r="L10" s="8" t="s">
        <v>125</v>
      </c>
      <c r="N10" s="21" t="s">
        <v>129</v>
      </c>
    </row>
    <row r="11" spans="2:14" ht="20" customHeight="1" x14ac:dyDescent="0.35">
      <c r="D11" t="s">
        <v>71</v>
      </c>
      <c r="E11" s="8" t="s">
        <v>315</v>
      </c>
      <c r="F11" t="s">
        <v>16</v>
      </c>
      <c r="G11" s="8" t="str">
        <f t="shared" si="0"/>
        <v>Mobilität: Warentransporte</v>
      </c>
      <c r="H11" t="s">
        <v>71</v>
      </c>
      <c r="I11" s="8" t="s">
        <v>125</v>
      </c>
      <c r="J11" s="8" t="s">
        <v>125</v>
      </c>
      <c r="K11" s="8" t="s">
        <v>87</v>
      </c>
      <c r="L11" s="8" t="s">
        <v>125</v>
      </c>
      <c r="N11" s="20" t="s">
        <v>71</v>
      </c>
    </row>
    <row r="12" spans="2:14" ht="20" customHeight="1" x14ac:dyDescent="0.35">
      <c r="D12" t="s">
        <v>69</v>
      </c>
      <c r="E12" s="8" t="s">
        <v>316</v>
      </c>
      <c r="F12" t="s">
        <v>16</v>
      </c>
      <c r="G12" s="8" t="str">
        <f>CONCATENATE(F12,": ",D12)</f>
        <v>Mobilität: Anreise der Besuchenden</v>
      </c>
      <c r="H12" t="s">
        <v>72</v>
      </c>
      <c r="I12" s="8" t="s">
        <v>125</v>
      </c>
      <c r="J12" s="8" t="s">
        <v>125</v>
      </c>
      <c r="K12" s="8" t="s">
        <v>91</v>
      </c>
      <c r="L12" s="8" t="s">
        <v>125</v>
      </c>
      <c r="N12" s="20" t="s">
        <v>72</v>
      </c>
    </row>
    <row r="13" spans="2:14" ht="20" customHeight="1" x14ac:dyDescent="0.35">
      <c r="D13" t="s">
        <v>291</v>
      </c>
      <c r="E13" s="8" t="s">
        <v>316</v>
      </c>
      <c r="F13" t="s">
        <v>17</v>
      </c>
      <c r="G13" s="8" t="str">
        <f t="shared" si="0"/>
        <v>Einkauf: Einkauf Medien</v>
      </c>
      <c r="H13" t="s">
        <v>218</v>
      </c>
      <c r="I13" s="8" t="s">
        <v>125</v>
      </c>
      <c r="J13" s="8" t="s">
        <v>125</v>
      </c>
      <c r="K13" s="8" t="s">
        <v>84</v>
      </c>
      <c r="L13" s="8" t="s">
        <v>125</v>
      </c>
      <c r="N13" s="21" t="s">
        <v>291</v>
      </c>
    </row>
    <row r="14" spans="2:14" ht="20" customHeight="1" x14ac:dyDescent="0.35">
      <c r="D14" s="7" t="s">
        <v>20</v>
      </c>
      <c r="E14" s="8" t="s">
        <v>316</v>
      </c>
      <c r="F14" t="s">
        <v>17</v>
      </c>
      <c r="G14" s="8" t="str">
        <f t="shared" si="0"/>
        <v>Einkauf: IT-Dienstleistungen</v>
      </c>
      <c r="H14" t="s">
        <v>47</v>
      </c>
      <c r="I14" t="s">
        <v>125</v>
      </c>
      <c r="J14" s="8" t="s">
        <v>125</v>
      </c>
      <c r="K14" s="8" t="s">
        <v>84</v>
      </c>
      <c r="L14" s="8" t="s">
        <v>125</v>
      </c>
      <c r="N14" s="21" t="s">
        <v>47</v>
      </c>
    </row>
    <row r="15" spans="2:14" ht="20" customHeight="1" x14ac:dyDescent="0.35">
      <c r="D15" t="s">
        <v>19</v>
      </c>
      <c r="E15" s="8" t="s">
        <v>316</v>
      </c>
      <c r="F15" t="s">
        <v>17</v>
      </c>
      <c r="G15" s="8" t="str">
        <f t="shared" si="0"/>
        <v>Einkauf: Relevante Stoffströme</v>
      </c>
      <c r="H15" t="s">
        <v>48</v>
      </c>
      <c r="I15" s="8" t="s">
        <v>125</v>
      </c>
      <c r="J15" s="8" t="s">
        <v>125</v>
      </c>
      <c r="K15" s="8" t="s">
        <v>84</v>
      </c>
      <c r="L15" s="8" t="s">
        <v>88</v>
      </c>
      <c r="N15" s="20" t="s">
        <v>48</v>
      </c>
    </row>
    <row r="17" spans="2:3" ht="18.5" x14ac:dyDescent="0.45">
      <c r="B17" s="5" t="s">
        <v>45</v>
      </c>
    </row>
    <row r="18" spans="2:3" x14ac:dyDescent="0.35">
      <c r="B18" t="s">
        <v>207</v>
      </c>
      <c r="C18" s="32" t="s">
        <v>216</v>
      </c>
    </row>
    <row r="19" spans="2:3" x14ac:dyDescent="0.35">
      <c r="B19" t="s">
        <v>50</v>
      </c>
      <c r="C19" s="18">
        <v>1</v>
      </c>
    </row>
    <row r="20" spans="2:3" x14ac:dyDescent="0.35">
      <c r="B20" t="s">
        <v>51</v>
      </c>
      <c r="C20" s="19">
        <v>2</v>
      </c>
    </row>
    <row r="21" spans="2:3" x14ac:dyDescent="0.35">
      <c r="B21" t="s">
        <v>52</v>
      </c>
      <c r="C21" s="18">
        <v>3</v>
      </c>
    </row>
    <row r="23" spans="2:3" x14ac:dyDescent="0.35">
      <c r="B23" t="s">
        <v>211</v>
      </c>
    </row>
    <row r="24" spans="2:3" x14ac:dyDescent="0.35">
      <c r="B24" t="s">
        <v>209</v>
      </c>
    </row>
    <row r="25" spans="2:3" x14ac:dyDescent="0.35">
      <c r="B25" t="s">
        <v>210</v>
      </c>
    </row>
  </sheetData>
  <sheetProtection selectLockedCells="1" selectUnlockedCells="1"/>
  <phoneticPr fontId="2" type="noConversion"/>
  <pageMargins left="0.7" right="0.7" top="0.78740157499999996" bottom="0.78740157499999996" header="0.3" footer="0.3"/>
  <tableParts count="4">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464BD-CD7C-4DB9-807D-34601E4F43C0}">
  <sheetPr codeName="Tabelle2">
    <tabColor theme="3" tint="0.59999389629810485"/>
  </sheetPr>
  <dimension ref="B4:D23"/>
  <sheetViews>
    <sheetView showGridLines="0" zoomScaleNormal="100" workbookViewId="0"/>
  </sheetViews>
  <sheetFormatPr baseColWidth="10" defaultRowHeight="14.5" x14ac:dyDescent="0.35"/>
  <cols>
    <col min="1" max="1" width="4.54296875" customWidth="1"/>
    <col min="2" max="2" width="27" style="1" customWidth="1"/>
    <col min="3" max="3" width="43.81640625" style="6" customWidth="1"/>
    <col min="4" max="4" width="72.453125" customWidth="1"/>
  </cols>
  <sheetData>
    <row r="4" spans="2:4" ht="18.5" x14ac:dyDescent="0.45">
      <c r="B4" s="126" t="s">
        <v>127</v>
      </c>
    </row>
    <row r="6" spans="2:4" s="9" customFormat="1" ht="21.75" customHeight="1" x14ac:dyDescent="0.35">
      <c r="B6" s="206" t="s">
        <v>5</v>
      </c>
      <c r="C6" s="207"/>
    </row>
    <row r="7" spans="2:4" ht="4.5" customHeight="1" x14ac:dyDescent="0.35">
      <c r="B7" s="3"/>
    </row>
    <row r="8" spans="2:4" ht="32.25" customHeight="1" x14ac:dyDescent="0.35">
      <c r="B8" s="202" t="s">
        <v>311</v>
      </c>
      <c r="C8" s="270"/>
    </row>
    <row r="9" spans="2:4" ht="4.5" customHeight="1" x14ac:dyDescent="0.35">
      <c r="B9" s="203"/>
      <c r="C9" s="204"/>
    </row>
    <row r="10" spans="2:4" ht="32.25" customHeight="1" x14ac:dyDescent="0.35">
      <c r="B10" s="202" t="s">
        <v>310</v>
      </c>
      <c r="C10" s="205"/>
      <c r="D10" s="79"/>
    </row>
    <row r="11" spans="2:4" ht="4.5" customHeight="1" x14ac:dyDescent="0.35">
      <c r="B11" s="203"/>
      <c r="C11" s="204"/>
    </row>
    <row r="12" spans="2:4" ht="32" customHeight="1" x14ac:dyDescent="0.35">
      <c r="B12" s="526" t="s">
        <v>614</v>
      </c>
      <c r="C12" s="205"/>
    </row>
    <row r="14" spans="2:4" s="9" customFormat="1" ht="21.75" customHeight="1" x14ac:dyDescent="0.35">
      <c r="B14" s="598" t="s">
        <v>6</v>
      </c>
      <c r="C14" s="598"/>
    </row>
    <row r="15" spans="2:4" ht="4.5" customHeight="1" x14ac:dyDescent="0.35">
      <c r="B15" s="3"/>
    </row>
    <row r="16" spans="2:4" s="9" customFormat="1" ht="21" customHeight="1" x14ac:dyDescent="0.35">
      <c r="B16" s="202" t="s">
        <v>7</v>
      </c>
      <c r="C16" s="205"/>
    </row>
    <row r="17" spans="2:3" ht="4.5" customHeight="1" x14ac:dyDescent="0.35">
      <c r="B17" s="3"/>
    </row>
    <row r="18" spans="2:3" ht="16.5" x14ac:dyDescent="0.45">
      <c r="B18" s="3" t="s">
        <v>561</v>
      </c>
    </row>
    <row r="19" spans="2:3" s="9" customFormat="1" ht="21" customHeight="1" x14ac:dyDescent="0.35">
      <c r="B19" s="202" t="s">
        <v>8</v>
      </c>
      <c r="C19" s="205"/>
    </row>
    <row r="20" spans="2:3" s="9" customFormat="1" ht="21" customHeight="1" x14ac:dyDescent="0.35">
      <c r="B20" s="202" t="s">
        <v>9</v>
      </c>
      <c r="C20" s="205"/>
    </row>
    <row r="21" spans="2:3" s="9" customFormat="1" ht="21" customHeight="1" x14ac:dyDescent="0.35">
      <c r="B21" s="202" t="s">
        <v>10</v>
      </c>
      <c r="C21" s="205"/>
    </row>
    <row r="22" spans="2:3" x14ac:dyDescent="0.35">
      <c r="B22" s="86"/>
      <c r="C22" s="87"/>
    </row>
    <row r="23" spans="2:3" x14ac:dyDescent="0.35">
      <c r="B23" s="88"/>
      <c r="C23" s="87"/>
    </row>
  </sheetData>
  <sheetProtection algorithmName="SHA-512" hashValue="ehuphFsI+nu/n3LzhLgouA4Pd7wPKkzOwzXYj6vPQ+nxMQE1ToWhMFZG9HamvKopjcRvRI3oardzHiJVcEUv7g==" saltValue="ZcL8ZRPbrLg9lfM3VZ3v/w==" spinCount="100000" sheet="1" objects="1" scenarios="1"/>
  <mergeCells count="1">
    <mergeCell ref="B14:C14"/>
  </mergeCell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98F3A37-555D-4387-90FD-449F62CB2440}">
          <x14:formula1>
            <xm:f>INDIRECT(Dropdowns!$B$3)</xm:f>
          </x14:formula1>
          <xm:sqref>C10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5CED7-B523-484A-80E6-07ECAACD3D2E}">
  <sheetPr codeName="Tabelle3">
    <tabColor theme="3" tint="0.59999389629810485"/>
  </sheetPr>
  <dimension ref="B3:F30"/>
  <sheetViews>
    <sheetView showGridLines="0" zoomScaleNormal="100" workbookViewId="0"/>
  </sheetViews>
  <sheetFormatPr baseColWidth="10" defaultRowHeight="14.5" x14ac:dyDescent="0.35"/>
  <cols>
    <col min="1" max="1" width="4.54296875" customWidth="1"/>
    <col min="2" max="2" width="8.1796875" style="6" customWidth="1"/>
    <col min="3" max="3" width="39" customWidth="1"/>
    <col min="4" max="5" width="26.453125" customWidth="1"/>
    <col min="6" max="6" width="36.1796875" customWidth="1"/>
  </cols>
  <sheetData>
    <row r="3" spans="2:6" x14ac:dyDescent="0.35">
      <c r="B3" s="26" t="str">
        <f>IF(ISBLANK(Stammdaten!$C$8),"",Stammdaten!$C$8)</f>
        <v/>
      </c>
    </row>
    <row r="4" spans="2:6" ht="18.5" x14ac:dyDescent="0.45">
      <c r="B4" s="126" t="s">
        <v>186</v>
      </c>
    </row>
    <row r="5" spans="2:6" ht="15.5" x14ac:dyDescent="0.35">
      <c r="B5" s="17"/>
    </row>
    <row r="6" spans="2:6" ht="18.75" customHeight="1" x14ac:dyDescent="0.35">
      <c r="B6" s="187" t="s">
        <v>187</v>
      </c>
      <c r="C6" s="82"/>
      <c r="D6" s="6"/>
      <c r="E6" s="6"/>
    </row>
    <row r="7" spans="2:6" s="10" customFormat="1" ht="141.75" customHeight="1" x14ac:dyDescent="0.35">
      <c r="B7" s="599" t="s">
        <v>562</v>
      </c>
      <c r="C7" s="599"/>
      <c r="D7" s="599"/>
      <c r="E7" s="599"/>
      <c r="F7" s="599"/>
    </row>
    <row r="8" spans="2:6" ht="7.5" customHeight="1" x14ac:dyDescent="0.35"/>
    <row r="9" spans="2:6" s="10" customFormat="1" ht="32" customHeight="1" x14ac:dyDescent="0.35">
      <c r="B9" s="458" t="s">
        <v>106</v>
      </c>
      <c r="C9" s="151" t="s">
        <v>188</v>
      </c>
      <c r="D9" s="151" t="s">
        <v>565</v>
      </c>
      <c r="E9" s="151" t="s">
        <v>189</v>
      </c>
      <c r="F9" s="151" t="s">
        <v>190</v>
      </c>
    </row>
    <row r="10" spans="2:6" s="89" customFormat="1" x14ac:dyDescent="0.35">
      <c r="B10" s="87">
        <f t="shared" ref="B10:B29" si="0">ROW()-9</f>
        <v>1</v>
      </c>
      <c r="C10" s="86"/>
      <c r="F10" s="86"/>
    </row>
    <row r="11" spans="2:6" s="89" customFormat="1" x14ac:dyDescent="0.35">
      <c r="B11" s="87">
        <f t="shared" si="0"/>
        <v>2</v>
      </c>
      <c r="C11" s="86"/>
      <c r="F11" s="86"/>
    </row>
    <row r="12" spans="2:6" s="89" customFormat="1" x14ac:dyDescent="0.35">
      <c r="B12" s="87">
        <f t="shared" si="0"/>
        <v>3</v>
      </c>
      <c r="C12" s="86"/>
      <c r="F12" s="86"/>
    </row>
    <row r="13" spans="2:6" s="89" customFormat="1" x14ac:dyDescent="0.35">
      <c r="B13" s="87">
        <f t="shared" si="0"/>
        <v>4</v>
      </c>
      <c r="C13" s="86"/>
      <c r="F13" s="86"/>
    </row>
    <row r="14" spans="2:6" s="89" customFormat="1" x14ac:dyDescent="0.35">
      <c r="B14" s="87">
        <f t="shared" si="0"/>
        <v>5</v>
      </c>
      <c r="C14" s="86"/>
      <c r="F14" s="86"/>
    </row>
    <row r="15" spans="2:6" s="89" customFormat="1" x14ac:dyDescent="0.35">
      <c r="B15" s="87">
        <f t="shared" si="0"/>
        <v>6</v>
      </c>
      <c r="C15" s="86"/>
      <c r="F15" s="86"/>
    </row>
    <row r="16" spans="2:6" s="89" customFormat="1" x14ac:dyDescent="0.35">
      <c r="B16" s="87">
        <f t="shared" si="0"/>
        <v>7</v>
      </c>
      <c r="C16" s="86"/>
      <c r="F16" s="86"/>
    </row>
    <row r="17" spans="2:6" s="89" customFormat="1" x14ac:dyDescent="0.35">
      <c r="B17" s="87">
        <f t="shared" si="0"/>
        <v>8</v>
      </c>
      <c r="C17" s="86"/>
      <c r="F17" s="86"/>
    </row>
    <row r="18" spans="2:6" s="89" customFormat="1" x14ac:dyDescent="0.35">
      <c r="B18" s="87">
        <f t="shared" si="0"/>
        <v>9</v>
      </c>
      <c r="C18" s="86"/>
      <c r="F18" s="86"/>
    </row>
    <row r="19" spans="2:6" s="89" customFormat="1" x14ac:dyDescent="0.35">
      <c r="B19" s="87">
        <f t="shared" si="0"/>
        <v>10</v>
      </c>
      <c r="C19" s="86"/>
      <c r="F19" s="86"/>
    </row>
    <row r="20" spans="2:6" s="89" customFormat="1" x14ac:dyDescent="0.35">
      <c r="B20" s="87">
        <f t="shared" si="0"/>
        <v>11</v>
      </c>
      <c r="C20" s="86"/>
      <c r="F20" s="86"/>
    </row>
    <row r="21" spans="2:6" s="89" customFormat="1" x14ac:dyDescent="0.35">
      <c r="B21" s="87">
        <f t="shared" si="0"/>
        <v>12</v>
      </c>
      <c r="C21" s="86"/>
      <c r="F21" s="86"/>
    </row>
    <row r="22" spans="2:6" s="89" customFormat="1" x14ac:dyDescent="0.35">
      <c r="B22" s="87">
        <f t="shared" si="0"/>
        <v>13</v>
      </c>
      <c r="C22" s="86"/>
      <c r="F22" s="86"/>
    </row>
    <row r="23" spans="2:6" s="89" customFormat="1" x14ac:dyDescent="0.35">
      <c r="B23" s="87">
        <f t="shared" si="0"/>
        <v>14</v>
      </c>
      <c r="C23" s="86"/>
      <c r="F23" s="86"/>
    </row>
    <row r="24" spans="2:6" s="89" customFormat="1" x14ac:dyDescent="0.35">
      <c r="B24" s="87">
        <f t="shared" si="0"/>
        <v>15</v>
      </c>
      <c r="C24" s="86"/>
      <c r="F24" s="86"/>
    </row>
    <row r="25" spans="2:6" s="89" customFormat="1" x14ac:dyDescent="0.35">
      <c r="B25" s="87">
        <f t="shared" si="0"/>
        <v>16</v>
      </c>
      <c r="C25" s="86"/>
      <c r="F25" s="86"/>
    </row>
    <row r="26" spans="2:6" s="89" customFormat="1" x14ac:dyDescent="0.35">
      <c r="B26" s="87">
        <f t="shared" si="0"/>
        <v>17</v>
      </c>
      <c r="C26" s="86"/>
      <c r="F26" s="86"/>
    </row>
    <row r="27" spans="2:6" s="89" customFormat="1" x14ac:dyDescent="0.35">
      <c r="B27" s="87">
        <f t="shared" si="0"/>
        <v>18</v>
      </c>
      <c r="C27" s="86"/>
      <c r="F27" s="86"/>
    </row>
    <row r="28" spans="2:6" s="89" customFormat="1" x14ac:dyDescent="0.35">
      <c r="B28" s="87">
        <f t="shared" si="0"/>
        <v>19</v>
      </c>
      <c r="C28" s="86"/>
      <c r="F28" s="86"/>
    </row>
    <row r="29" spans="2:6" s="89" customFormat="1" x14ac:dyDescent="0.35">
      <c r="B29" s="87">
        <f t="shared" si="0"/>
        <v>20</v>
      </c>
      <c r="C29" s="86"/>
      <c r="F29" s="86"/>
    </row>
    <row r="30" spans="2:6" ht="32.25" customHeight="1" x14ac:dyDescent="0.35">
      <c r="B30" s="600" t="s">
        <v>276</v>
      </c>
      <c r="C30" s="600"/>
      <c r="D30" s="600"/>
      <c r="E30" s="600"/>
      <c r="F30" s="600"/>
    </row>
  </sheetData>
  <sheetProtection algorithmName="SHA-512" hashValue="3WgW8m3vkWf4DyWLx2CNdzbbczVa4LCX1Y3GWdoKoZ68N+mI+S86vz11Rhai+oTJoB5JxJMkp0sDG5BBOWef8w==" saltValue="a26fmBymsmE6VswHz4nAUQ==" spinCount="100000" sheet="1" insertRows="0" deleteRows="0"/>
  <mergeCells count="2">
    <mergeCell ref="B7:F7"/>
    <mergeCell ref="B30:F30"/>
  </mergeCells>
  <phoneticPr fontId="2" type="noConversion"/>
  <pageMargins left="0.7" right="0.7" top="0.78740157499999996" bottom="0.78740157499999996" header="0.3" footer="0.3"/>
  <pageSetup paperSize="9" orientation="portrait" r:id="rId1"/>
  <ignoredErrors>
    <ignoredError sqref="B10" unlockedFormula="1"/>
  </ignoredErrors>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78B9D-8320-4C80-A847-057DB8861D42}">
  <sheetPr codeName="Tabelle4">
    <tabColor rgb="FF4472C4"/>
  </sheetPr>
  <dimension ref="B3:CN260"/>
  <sheetViews>
    <sheetView showGridLines="0" zoomScaleNormal="100" workbookViewId="0"/>
  </sheetViews>
  <sheetFormatPr baseColWidth="10" defaultRowHeight="14.5" outlineLevelCol="1" x14ac:dyDescent="0.35"/>
  <cols>
    <col min="1" max="1" width="4.54296875" customWidth="1"/>
    <col min="3" max="3" width="26.453125" hidden="1" customWidth="1" outlineLevel="1"/>
    <col min="4" max="4" width="24" customWidth="1" collapsed="1"/>
    <col min="5" max="5" width="33.7265625" customWidth="1"/>
    <col min="6" max="7" width="18" customWidth="1"/>
    <col min="8" max="8" width="17.7265625" customWidth="1"/>
    <col min="9" max="11" width="28.81640625" customWidth="1"/>
    <col min="12" max="13" width="17.453125" customWidth="1"/>
    <col min="14" max="14" width="18.1796875" customWidth="1"/>
    <col min="15" max="36" width="20.08984375" hidden="1" customWidth="1" outlineLevel="1"/>
    <col min="37" max="70" width="17.54296875" hidden="1" customWidth="1" outlineLevel="1"/>
    <col min="71" max="74" width="17.453125" hidden="1" customWidth="1" outlineLevel="1"/>
    <col min="75" max="76" width="17.7265625" hidden="1" customWidth="1" outlineLevel="1"/>
    <col min="77" max="77" width="10.90625" collapsed="1"/>
  </cols>
  <sheetData>
    <row r="3" spans="2:10" x14ac:dyDescent="0.35">
      <c r="B3" s="26" t="str">
        <f>IF(ISBLANK(Stammdaten!$C$8),"",Stammdaten!$C$8)</f>
        <v/>
      </c>
    </row>
    <row r="4" spans="2:10" ht="18.5" x14ac:dyDescent="0.45">
      <c r="B4" s="126" t="s">
        <v>318</v>
      </c>
    </row>
    <row r="5" spans="2:10" s="15" customFormat="1" ht="65.5" customHeight="1" x14ac:dyDescent="0.35">
      <c r="B5" s="599" t="s">
        <v>597</v>
      </c>
      <c r="C5" s="599"/>
      <c r="D5" s="599"/>
      <c r="E5" s="599"/>
      <c r="F5" s="599"/>
      <c r="G5" s="599"/>
      <c r="H5" s="599"/>
      <c r="I5" s="599"/>
    </row>
    <row r="6" spans="2:10" ht="9.5" customHeight="1" x14ac:dyDescent="0.35">
      <c r="B6" s="24"/>
      <c r="C6" s="24"/>
      <c r="D6" s="24"/>
      <c r="E6" s="24"/>
      <c r="F6" s="24"/>
      <c r="G6" s="24"/>
    </row>
    <row r="7" spans="2:10" ht="18.5" customHeight="1" x14ac:dyDescent="0.45">
      <c r="B7" s="126" t="s">
        <v>194</v>
      </c>
    </row>
    <row r="8" spans="2:10" s="15" customFormat="1" ht="65.5" customHeight="1" x14ac:dyDescent="0.35">
      <c r="B8" s="599" t="s">
        <v>335</v>
      </c>
      <c r="C8" s="599"/>
      <c r="D8" s="599"/>
      <c r="E8" s="599"/>
      <c r="F8" s="599"/>
      <c r="G8" s="599"/>
      <c r="H8" s="599"/>
      <c r="I8" s="599"/>
    </row>
    <row r="9" spans="2:10" ht="4.5" customHeight="1" x14ac:dyDescent="0.35"/>
    <row r="10" spans="2:10" ht="4.5" customHeight="1" x14ac:dyDescent="0.35"/>
    <row r="11" spans="2:10" ht="29.5" thickBot="1" x14ac:dyDescent="0.4">
      <c r="B11" s="98"/>
      <c r="C11" s="108" t="s">
        <v>73</v>
      </c>
      <c r="D11" s="455" t="s">
        <v>14</v>
      </c>
      <c r="E11" s="456" t="s">
        <v>314</v>
      </c>
      <c r="F11" s="457" t="s">
        <v>119</v>
      </c>
      <c r="G11" s="457" t="s">
        <v>193</v>
      </c>
      <c r="H11" s="12"/>
      <c r="I11" s="12"/>
      <c r="J11" s="12"/>
    </row>
    <row r="12" spans="2:10" s="9" customFormat="1" ht="18" customHeight="1" thickTop="1" x14ac:dyDescent="0.35">
      <c r="B12" s="612" t="s">
        <v>315</v>
      </c>
      <c r="C12" s="99" t="s">
        <v>11</v>
      </c>
      <c r="D12" s="99" t="s">
        <v>67</v>
      </c>
      <c r="E12" s="128" t="s">
        <v>11</v>
      </c>
      <c r="F12" s="100" t="str">
        <f>IF(Wärme[[#Totals],[Ergebnis '[kg CO2e'] (vorausgefüllt)]]=0,"nein","ja")</f>
        <v>nein</v>
      </c>
      <c r="G12" s="105"/>
      <c r="H12" s="358" t="b">
        <v>0</v>
      </c>
      <c r="I12" s="95"/>
      <c r="J12" s="33"/>
    </row>
    <row r="13" spans="2:10" s="9" customFormat="1" ht="18" customHeight="1" x14ac:dyDescent="0.35">
      <c r="B13" s="613"/>
      <c r="C13" s="101" t="s">
        <v>15</v>
      </c>
      <c r="D13" s="101" t="s">
        <v>67</v>
      </c>
      <c r="E13" s="129" t="s">
        <v>15</v>
      </c>
      <c r="F13" s="102" t="str">
        <f>IF(Strom[[#Totals],[Ergebnis
'[kg CO2e']
(vorausgefüllt)]]=0,"nein","ja")</f>
        <v>nein</v>
      </c>
      <c r="G13" s="106"/>
      <c r="H13" s="358" t="b">
        <v>0</v>
      </c>
      <c r="I13" s="95"/>
      <c r="J13" s="33"/>
    </row>
    <row r="14" spans="2:10" s="9" customFormat="1" ht="18" customHeight="1" x14ac:dyDescent="0.35">
      <c r="B14" s="613"/>
      <c r="C14" s="103" t="s">
        <v>49</v>
      </c>
      <c r="D14" s="103" t="s">
        <v>67</v>
      </c>
      <c r="E14" s="130" t="s">
        <v>13</v>
      </c>
      <c r="F14" s="104" t="str">
        <f>IF(Kühl_und_Kältemittel[[#Totals],[Ergebnis '[kg CO2e'] (vorausgefüllt)]]=0,"nein","ja")</f>
        <v>nein</v>
      </c>
      <c r="G14" s="107"/>
      <c r="H14" s="358" t="b">
        <v>0</v>
      </c>
      <c r="I14" s="95"/>
      <c r="J14" s="33"/>
    </row>
    <row r="15" spans="2:10" s="9" customFormat="1" ht="18" customHeight="1" x14ac:dyDescent="0.35">
      <c r="B15" s="613"/>
      <c r="C15" s="101" t="s">
        <v>12</v>
      </c>
      <c r="D15" s="101" t="s">
        <v>16</v>
      </c>
      <c r="E15" s="129" t="s">
        <v>12</v>
      </c>
      <c r="F15" s="102" t="str">
        <f>IF(Fuhrpark[[#Totals],[Ergebnis
'[kg CO2e']
(vorausgefüllt)]]=0,"nein","ja")</f>
        <v>nein</v>
      </c>
      <c r="G15" s="106"/>
      <c r="H15" s="358" t="b">
        <v>0</v>
      </c>
      <c r="I15" s="95"/>
      <c r="J15" s="33"/>
    </row>
    <row r="16" spans="2:10" s="9" customFormat="1" ht="18" customHeight="1" x14ac:dyDescent="0.35">
      <c r="B16" s="613"/>
      <c r="C16" s="103" t="s">
        <v>18</v>
      </c>
      <c r="D16" s="103" t="s">
        <v>16</v>
      </c>
      <c r="E16" s="130" t="s">
        <v>18</v>
      </c>
      <c r="F16" s="104" t="str">
        <f>IF(Geschäftsreisen[[#Totals],[Ergebnis '[kg CO2e'] (vorausgefüllt)]]=0,"nein","ja")</f>
        <v>nein</v>
      </c>
      <c r="G16" s="107"/>
      <c r="H16" s="358" t="b">
        <v>0</v>
      </c>
      <c r="I16" s="95"/>
      <c r="J16" s="33"/>
    </row>
    <row r="17" spans="2:72" s="9" customFormat="1" ht="18" customHeight="1" x14ac:dyDescent="0.35">
      <c r="B17" s="613"/>
      <c r="C17" s="101" t="s">
        <v>70</v>
      </c>
      <c r="D17" s="101" t="s">
        <v>16</v>
      </c>
      <c r="E17" s="129" t="s">
        <v>68</v>
      </c>
      <c r="F17" s="102" t="str">
        <f>IF(Pendeln_Mitarbeitende[[#Totals],[Ergebnis '[kg CO2e'] (vorausgefüllt)]]=0,"nein","ja")</f>
        <v>nein</v>
      </c>
      <c r="G17" s="106"/>
      <c r="H17" s="358" t="b">
        <v>0</v>
      </c>
      <c r="I17" s="95"/>
      <c r="J17" s="33"/>
    </row>
    <row r="18" spans="2:72" s="9" customFormat="1" ht="18" customHeight="1" x14ac:dyDescent="0.35">
      <c r="B18" s="613"/>
      <c r="C18" s="103" t="s">
        <v>129</v>
      </c>
      <c r="D18" s="103" t="s">
        <v>16</v>
      </c>
      <c r="E18" s="130" t="s">
        <v>129</v>
      </c>
      <c r="F18" s="104" t="str">
        <f>IF(Externe[[#Totals],[Ergebnis '[kg CO2e'] (vorausgefüllt)]]=0,"nein","ja")</f>
        <v>nein</v>
      </c>
      <c r="G18" s="107"/>
      <c r="H18" s="358" t="b">
        <v>0</v>
      </c>
      <c r="I18" s="95"/>
      <c r="J18" s="33"/>
    </row>
    <row r="19" spans="2:72" s="9" customFormat="1" ht="18" customHeight="1" x14ac:dyDescent="0.35">
      <c r="B19" s="613"/>
      <c r="C19" s="101" t="s">
        <v>71</v>
      </c>
      <c r="D19" s="101" t="s">
        <v>16</v>
      </c>
      <c r="E19" s="129" t="s">
        <v>71</v>
      </c>
      <c r="F19" s="102" t="str">
        <f>IF(Warentransporte[[#Totals],[Ergebnis '[kg CO2e'] (vorausgefüllt)]]=0,"nein","ja")</f>
        <v>nein</v>
      </c>
      <c r="G19" s="106"/>
      <c r="H19" s="358" t="b">
        <v>0</v>
      </c>
      <c r="I19" s="95"/>
      <c r="J19" s="33"/>
    </row>
    <row r="20" spans="2:72" x14ac:dyDescent="0.35">
      <c r="H20" s="12"/>
      <c r="I20" s="12"/>
      <c r="J20" s="12"/>
    </row>
    <row r="21" spans="2:72" x14ac:dyDescent="0.35">
      <c r="B21" s="267" t="s">
        <v>214</v>
      </c>
      <c r="C21" s="268"/>
      <c r="D21" s="268"/>
      <c r="E21" s="268"/>
      <c r="F21" s="268"/>
      <c r="G21" s="268"/>
      <c r="H21" s="268"/>
      <c r="I21" s="269"/>
    </row>
    <row r="22" spans="2:72" ht="81" customHeight="1" x14ac:dyDescent="0.35">
      <c r="B22" s="609" t="s">
        <v>563</v>
      </c>
      <c r="C22" s="610"/>
      <c r="D22" s="610"/>
      <c r="E22" s="610"/>
      <c r="F22" s="610"/>
      <c r="G22" s="610"/>
      <c r="H22" s="610"/>
      <c r="I22" s="611"/>
    </row>
    <row r="23" spans="2:72" ht="50.25" customHeight="1" x14ac:dyDescent="0.35"/>
    <row r="24" spans="2:72" x14ac:dyDescent="0.35">
      <c r="B24" s="127" t="s">
        <v>80</v>
      </c>
    </row>
    <row r="25" spans="2:72" ht="18.5" x14ac:dyDescent="0.45">
      <c r="B25" s="126" t="s">
        <v>11</v>
      </c>
    </row>
    <row r="26" spans="2:72" ht="75.5" customHeight="1" x14ac:dyDescent="0.35">
      <c r="B26" s="184" t="s">
        <v>81</v>
      </c>
      <c r="C26" s="185"/>
      <c r="D26" s="607" t="s">
        <v>564</v>
      </c>
      <c r="E26" s="607"/>
      <c r="F26" s="607"/>
      <c r="G26" s="607"/>
      <c r="H26" s="607"/>
      <c r="I26" s="608"/>
    </row>
    <row r="27" spans="2:72" ht="14" customHeight="1" x14ac:dyDescent="0.45">
      <c r="C27" t="s">
        <v>11</v>
      </c>
      <c r="M27" s="5"/>
      <c r="N27" s="5"/>
      <c r="O27" s="5"/>
      <c r="P27" s="5"/>
      <c r="Q27" s="5"/>
      <c r="R27" s="5"/>
      <c r="S27" s="5"/>
      <c r="T27" s="5"/>
    </row>
    <row r="28" spans="2:72" s="10" customFormat="1" ht="46" thickBot="1" x14ac:dyDescent="0.4">
      <c r="C28" s="23" t="s">
        <v>46</v>
      </c>
      <c r="D28" s="151" t="s">
        <v>192</v>
      </c>
      <c r="E28" s="151" t="s">
        <v>65</v>
      </c>
      <c r="F28" s="151" t="s">
        <v>66</v>
      </c>
      <c r="G28" s="96" t="s">
        <v>78</v>
      </c>
      <c r="H28" s="151" t="s">
        <v>120</v>
      </c>
      <c r="I28" s="151" t="s">
        <v>566</v>
      </c>
      <c r="J28" s="96" t="s">
        <v>74</v>
      </c>
      <c r="K28" s="96" t="s">
        <v>75</v>
      </c>
      <c r="L28" s="134" t="s">
        <v>281</v>
      </c>
      <c r="M28" s="407" t="s">
        <v>424</v>
      </c>
      <c r="N28" s="407" t="s">
        <v>484</v>
      </c>
      <c r="O28" s="96" t="s">
        <v>217</v>
      </c>
      <c r="P28" s="96" t="s">
        <v>490</v>
      </c>
      <c r="Q28" s="432" t="s">
        <v>485</v>
      </c>
      <c r="R28" s="96" t="s">
        <v>435</v>
      </c>
      <c r="S28" s="96" t="s">
        <v>436</v>
      </c>
      <c r="T28" s="96" t="s">
        <v>437</v>
      </c>
      <c r="U28" s="96" t="s">
        <v>469</v>
      </c>
      <c r="V28" s="96" t="s">
        <v>468</v>
      </c>
      <c r="W28" s="96" t="s">
        <v>467</v>
      </c>
      <c r="X28" s="96" t="s">
        <v>466</v>
      </c>
      <c r="Y28" s="96" t="s">
        <v>579</v>
      </c>
      <c r="Z28" s="436" t="s">
        <v>438</v>
      </c>
      <c r="AA28" s="432" t="s">
        <v>486</v>
      </c>
      <c r="AB28" s="96" t="s">
        <v>439</v>
      </c>
      <c r="AC28" s="96" t="s">
        <v>440</v>
      </c>
      <c r="AD28" s="96" t="s">
        <v>441</v>
      </c>
      <c r="AE28" s="96" t="s">
        <v>470</v>
      </c>
      <c r="AF28" s="96" t="s">
        <v>471</v>
      </c>
      <c r="AG28" s="96" t="s">
        <v>472</v>
      </c>
      <c r="AH28" s="96" t="s">
        <v>473</v>
      </c>
      <c r="AI28" s="96" t="s">
        <v>580</v>
      </c>
      <c r="AJ28" s="432" t="s">
        <v>487</v>
      </c>
      <c r="AK28" s="134" t="s">
        <v>493</v>
      </c>
      <c r="AL28" s="134" t="s">
        <v>527</v>
      </c>
      <c r="AM28" s="134" t="s">
        <v>528</v>
      </c>
      <c r="AN28" s="435" t="s">
        <v>500</v>
      </c>
      <c r="AO28" s="434" t="s">
        <v>507</v>
      </c>
      <c r="AP28" s="434" t="s">
        <v>506</v>
      </c>
      <c r="AQ28" s="434" t="s">
        <v>504</v>
      </c>
      <c r="AR28" s="434" t="s">
        <v>505</v>
      </c>
      <c r="AS28" s="434" t="s">
        <v>503</v>
      </c>
      <c r="AT28" s="434" t="s">
        <v>502</v>
      </c>
      <c r="AU28" s="434" t="s">
        <v>501</v>
      </c>
      <c r="AV28" s="434" t="s">
        <v>540</v>
      </c>
      <c r="AW28" s="434" t="s">
        <v>508</v>
      </c>
      <c r="AX28" s="434" t="s">
        <v>509</v>
      </c>
      <c r="AY28" s="434" t="s">
        <v>510</v>
      </c>
      <c r="AZ28" s="434" t="s">
        <v>513</v>
      </c>
      <c r="BA28" s="434" t="s">
        <v>514</v>
      </c>
      <c r="BB28" s="434" t="s">
        <v>511</v>
      </c>
      <c r="BC28" s="434" t="s">
        <v>512</v>
      </c>
      <c r="BD28" s="434" t="s">
        <v>541</v>
      </c>
      <c r="BE28" s="433" t="s">
        <v>495</v>
      </c>
      <c r="BF28" s="433" t="s">
        <v>494</v>
      </c>
      <c r="BG28" s="433" t="s">
        <v>496</v>
      </c>
      <c r="BH28" s="433" t="s">
        <v>497</v>
      </c>
      <c r="BI28" s="433" t="s">
        <v>515</v>
      </c>
      <c r="BJ28" s="433" t="s">
        <v>498</v>
      </c>
      <c r="BK28" s="433" t="s">
        <v>499</v>
      </c>
      <c r="BL28" s="433" t="s">
        <v>542</v>
      </c>
      <c r="BM28" s="433" t="s">
        <v>516</v>
      </c>
      <c r="BN28" s="433" t="s">
        <v>517</v>
      </c>
      <c r="BO28" s="433" t="s">
        <v>518</v>
      </c>
      <c r="BP28" s="433" t="s">
        <v>519</v>
      </c>
      <c r="BQ28" s="433" t="s">
        <v>520</v>
      </c>
      <c r="BR28" s="433" t="s">
        <v>521</v>
      </c>
      <c r="BS28" s="433" t="s">
        <v>522</v>
      </c>
      <c r="BT28" s="433" t="s">
        <v>543</v>
      </c>
    </row>
    <row r="29" spans="2:72" s="89" customFormat="1" ht="15" thickTop="1" x14ac:dyDescent="0.35">
      <c r="B29" s="603" t="s">
        <v>11</v>
      </c>
      <c r="C29" s="10" t="str">
        <f t="shared" ref="C29:C48" si="0">$C$27</f>
        <v>Wärme</v>
      </c>
      <c r="D29" s="90"/>
      <c r="E29" s="90"/>
      <c r="F29" s="288"/>
      <c r="G29" s="10" t="str">
        <f>IFERROR(VLOOKUP(Wärme[[#This Row],[Thema_Bezeichung]],EFs_Wärme[],4,FALSE),"")</f>
        <v/>
      </c>
      <c r="H29" s="90"/>
      <c r="I29" s="90"/>
      <c r="J29" s="90"/>
      <c r="K29" s="90"/>
      <c r="L29" s="284" t="str">
        <f>IF(ISBLANK(Wärme[[#This Row],[Wert 
(Zahl)]]),"", SUM(Wärme[[#This Row],[Scope 1 CO2e '[kg CO2e']]:[Scope 3 CO2e '[kg CO2e']]]))</f>
        <v/>
      </c>
      <c r="M29" s="158"/>
      <c r="N29" s="158"/>
      <c r="O29" s="15" t="str">
        <f>IF(ISBLANK(Wärme[[#This Row],[Emissionsquelle/Aktivität (Dropdown)]]),"",CONCATENATE(Wärme[[#This Row],[Sektor_Thema]]," - ",Wärme[[#This Row],[Emissionsquelle/Aktivität (Dropdown)]]))</f>
        <v/>
      </c>
      <c r="P29" s="15" t="str">
        <f>IF(ISBLANK(Wärme[[#This Row],[Emissionsquelle/Aktivität (Dropdown)]]),"",AND(Wärme[[#This Row],[Emissionsquelle/Aktivität (Dropdown)]]="Fernwärme (Wert Energieversorger)",ISNUMBER(Wärme[[#This Row],[Fernwärme Eigenfaktor Scope 2
'[g CO2e/kWh']
(falls zutreffend)]])))</f>
        <v/>
      </c>
      <c r="Q29" s="15" t="str">
        <f>IFERROR(VLOOKUP(Wärme[[#This Row],[Thema_Bezeichung]],EFs_Wärme[],5,FALSE),"")</f>
        <v/>
      </c>
      <c r="R29" s="15" t="str">
        <f>IFERROR(VLOOKUP(Wärme[[#This Row],[Thema_Bezeichung]],EFs_Wärme[],6,FALSE),"")</f>
        <v/>
      </c>
      <c r="S29" s="15" t="str">
        <f>IFERROR(VLOOKUP(Wärme[[#This Row],[Thema_Bezeichung]],EFs_Wärme[],7,FALSE),"")</f>
        <v/>
      </c>
      <c r="T29" s="15" t="str">
        <f>IFERROR(VLOOKUP(Wärme[[#This Row],[Thema_Bezeichung]],EFs_Wärme[],8,FALSE),"")</f>
        <v/>
      </c>
      <c r="U29" s="15" t="str">
        <f>IFERROR(VLOOKUP(Wärme[[#This Row],[Thema_Bezeichung]],EFs_Wärme[],9,FALSE),"")</f>
        <v/>
      </c>
      <c r="V29" s="15" t="str">
        <f>IFERROR(VLOOKUP(Wärme[[#This Row],[Thema_Bezeichung]],EFs_Wärme[],10,FALSE),"")</f>
        <v/>
      </c>
      <c r="W29" s="15" t="str">
        <f>IFERROR(VLOOKUP(Wärme[[#This Row],[Thema_Bezeichung]],EFs_Wärme[],11,FALSE),"")</f>
        <v/>
      </c>
      <c r="X29" s="15" t="str">
        <f>IFERROR(VLOOKUP(Wärme[[#This Row],[Thema_Bezeichung]],EFs_Wärme[],12,FALSE),"")</f>
        <v/>
      </c>
      <c r="Y29" s="15" t="str">
        <f>IFERROR(VLOOKUP(Wärme[[#This Row],[Thema_Bezeichung]],EFs_Wärme[],13,FALSE),"")</f>
        <v/>
      </c>
      <c r="Z29" s="15" t="str">
        <f>IFERROR(VLOOKUP(Wärme[[#This Row],[Thema_Bezeichung]],EFs_Wärme[],14,FALSE),"")</f>
        <v/>
      </c>
      <c r="AA29" s="15" t="str">
        <f>IF(Wärme[[#This Row],[Fernwärme - Eigenfaktor angegeben?]]=TRUE,Wärme[[#This Row],[Fernwärme Eigenfaktor Scope 2
'[g CO2e/kWh']
(falls zutreffend)]]/1000,IFERROR(VLOOKUP(Wärme[[#This Row],[Thema_Bezeichung]],EFs_Wärme[],15,FALSE),""))</f>
        <v/>
      </c>
      <c r="AB29" s="15" t="str">
        <f>IFERROR(VLOOKUP(Wärme[[#This Row],[Thema_Bezeichung]],EFs_Wärme[],16,FALSE),"")</f>
        <v/>
      </c>
      <c r="AC29" s="15" t="str">
        <f>IFERROR(VLOOKUP(Wärme[[#This Row],[Thema_Bezeichung]],EFs_Wärme[],17,FALSE),"")</f>
        <v/>
      </c>
      <c r="AD29" s="15" t="str">
        <f>IFERROR(VLOOKUP(Wärme[[#This Row],[Thema_Bezeichung]],EFs_Wärme[],18,FALSE),"")</f>
        <v/>
      </c>
      <c r="AE29" s="15" t="str">
        <f>IFERROR(VLOOKUP(Wärme[[#This Row],[Thema_Bezeichung]],EFs_Wärme[],19,FALSE),"")</f>
        <v/>
      </c>
      <c r="AF29" s="15" t="str">
        <f>IFERROR(VLOOKUP(Wärme[[#This Row],[Thema_Bezeichung]],EFs_Wärme[],20,FALSE),"")</f>
        <v/>
      </c>
      <c r="AG29" s="15" t="str">
        <f>IFERROR(VLOOKUP(Wärme[[#This Row],[Thema_Bezeichung]],EFs_Wärme[],21,FALSE),"")</f>
        <v/>
      </c>
      <c r="AH29" s="15" t="str">
        <f>IFERROR(VLOOKUP(Wärme[[#This Row],[Thema_Bezeichung]],EFs_Wärme[],22,FALSE),"")</f>
        <v/>
      </c>
      <c r="AI29" s="15" t="str">
        <f>IFERROR(VLOOKUP(Wärme[[#This Row],[Thema_Bezeichung]],EFs_Wärme[],23,FALSE),"")</f>
        <v/>
      </c>
      <c r="AJ29" s="15" t="str">
        <f>IFERROR(VLOOKUP(Wärme[[#This Row],[Thema_Bezeichung]],EFs_Wärme[],24,FALSE),"")</f>
        <v/>
      </c>
      <c r="AK29" s="15" t="str">
        <f>IFERROR(Wärme[[#This Row],[Wert 
(Zahl)]]*Wärme[[#This Row],[EF Scope 1 CO2e
(kg CO2e/Einheit)]],"")</f>
        <v/>
      </c>
      <c r="AL29" s="15" t="str">
        <f>IFERROR(Wärme[[#This Row],[Wert 
(Zahl)]]*Wärme[[#This Row],[EF Scope 2 CO2e
(kg CO2e/Einheit)]],"")</f>
        <v/>
      </c>
      <c r="AM29" s="15" t="str">
        <f>IFERROR(Wärme[[#This Row],[Wert 
(Zahl)]]*Wärme[[#This Row],[EF Scope 3 CO2e
(kg CO2e/Einheit)]],"")</f>
        <v/>
      </c>
      <c r="AN29" s="15" t="str">
        <f>IFERROR(Wärme[[#This Row],[Wert 
(Zahl)]]*Wärme[[#This Row],[EF Scope 1 CO2 biogen
(kg CO2 /Einheit)]],"")</f>
        <v/>
      </c>
      <c r="AO29" s="15" t="str">
        <f>IFERROR(Wärme[[#This Row],[Wert 
(Zahl)]]*Wärme[[#This Row],[EF Scope 1 CO2
(kg CO2/Einheit)]],"")</f>
        <v/>
      </c>
      <c r="AP29" s="15" t="str">
        <f>IFERROR(Wärme[[#This Row],[Wert 
(Zahl)]]*Wärme[[#This Row],[EF Scope 1 CH4
(kg CH4/Einheit)]],"")</f>
        <v/>
      </c>
      <c r="AQ29" s="15" t="str">
        <f>IFERROR(Wärme[[#This Row],[Wert 
(Zahl)]]*Wärme[[#This Row],[EF Scope 1 N2O
(kg N2O/Einheit)]],"")</f>
        <v/>
      </c>
      <c r="AR29" s="15" t="str">
        <f>IFERROR(Wärme[[#This Row],[Wert 
(Zahl)]]*Wärme[[#This Row],[EF Scope 1 HFCs
(kg HFCs/Einheit)]],"")</f>
        <v/>
      </c>
      <c r="AS29" s="15" t="str">
        <f>IFERROR(Wärme[[#This Row],[Wert 
(Zahl)]]*Wärme[[#This Row],[EF Scope 1 PFCs
(kg PFCs/Einheit)]],"")</f>
        <v/>
      </c>
      <c r="AT29" s="15" t="str">
        <f>IFERROR(Wärme[[#This Row],[Wert 
(Zahl)]]*Wärme[[#This Row],[EF Scope 1 SF6
(kg SF6/Einheit)]],"")</f>
        <v/>
      </c>
      <c r="AU29" s="15" t="str">
        <f>IFERROR(Wärme[[#This Row],[Wert 
(Zahl)]]*Wärme[[#This Row],[EF Scope 1 NF3
(kg NF3/Einheit)]],"")</f>
        <v/>
      </c>
      <c r="AV29" s="15" t="str">
        <f>IFERROR(Wärme[[#This Row],[Wert 
(Zahl)]]*Wärme[[#This Row],[EF Scope 1 Nicht-Kyoto-Gase (kg Nicht-Kyoto-Gase/Einheit)]],"")</f>
        <v/>
      </c>
      <c r="AW29" s="15" t="str">
        <f>IFERROR(Wärme[[#This Row],[Wert 
(Zahl)]]*Wärme[[#This Row],[EF Scope 2 CO2
(kg CO2/Einheit)]],"")</f>
        <v/>
      </c>
      <c r="AX29" s="15" t="str">
        <f>IFERROR(Wärme[[#This Row],[Wert 
(Zahl)]]*Wärme[[#This Row],[EF Scope 2 CH4
(kg CH4/Einheit)]],"")</f>
        <v/>
      </c>
      <c r="AY29" s="15" t="str">
        <f>IFERROR(Wärme[[#This Row],[Wert 
(Zahl)]]*Wärme[[#This Row],[EF Scope 2 N2O
(kg N2O/Einheit)]],"")</f>
        <v/>
      </c>
      <c r="AZ29" s="15" t="str">
        <f>IFERROR(Wärme[[#This Row],[Wert 
(Zahl)]]*Wärme[[#This Row],[EF Scope 2 HFCs
(kg HFCs/Einheit)]],"")</f>
        <v/>
      </c>
      <c r="BA29" s="15" t="str">
        <f>IFERROR(Wärme[[#This Row],[Wert 
(Zahl)]]*Wärme[[#This Row],[EF Scope 2 PFCs
(kg PFCs/Einheit)]],"")</f>
        <v/>
      </c>
      <c r="BB29" s="15" t="str">
        <f>IFERROR(Wärme[[#This Row],[Wert 
(Zahl)]]*Wärme[[#This Row],[EF Scope 2 SF6
(kg SF6/Einheit)]],"")</f>
        <v/>
      </c>
      <c r="BC29" s="15" t="str">
        <f>IFERROR(Wärme[[#This Row],[Wert 
(Zahl)]]*Wärme[[#This Row],[EF Scope 2 NF3
(kg NF3/Einheit)]],"")</f>
        <v/>
      </c>
      <c r="BD29" s="15" t="str">
        <f>IFERROR(Wärme[[#This Row],[Wert 
(Zahl)]]*Wärme[[#This Row],[EF Scope 2 Nicht-Kyoto-Gase (kg Nicht-Kyoto-Gase/Einheit)]],"")</f>
        <v/>
      </c>
      <c r="BE29" s="15" t="str">
        <f>IF(ISBLANK(Wärme[[#This Row],[Wert 
(Zahl)]]),"",IFERROR(Wärme[[#This Row],[Scope 1 CO2 '[kg CO2']]]*IFERROR(VLOOKUP("CO2",GWP_100[],3,FALSE),0),0))</f>
        <v/>
      </c>
      <c r="BF29" s="15" t="str">
        <f>IF(ISBLANK(Wärme[[#This Row],[Wert 
(Zahl)]]),"",IFERROR(Wärme[[#This Row],[Scope 1 CH4 '[kg CH4']]]*IFERROR(VLOOKUP("CH4",GWP_100[],4,FALSE),0),0))</f>
        <v/>
      </c>
      <c r="BG29" s="15" t="str">
        <f>IF(ISBLANK(Wärme[[#This Row],[Wert 
(Zahl)]]),"",IFERROR(Wärme[[#This Row],[Scope 1 N2O '[kg N2O']]]*IFERROR(VLOOKUP("N2O",GWP_100[],5,FALSE),0),0))</f>
        <v/>
      </c>
      <c r="BH29" s="15" t="str">
        <f>IF(ISBLANK(Wärme[[#This Row],[Wert 
(Zahl)]]),"",IFERROR(Wärme[[#This Row],[Scope 1 HFCs '[kg HFCs']]]*IFERROR(VLOOKUP(Wärme[[#This Row],[Emissionsquelle/Aktivität (Dropdown)]],GWP_100[],6,FALSE),0),0))</f>
        <v/>
      </c>
      <c r="BI29" s="15" t="str">
        <f>IF(ISBLANK(Wärme[[#This Row],[Wert 
(Zahl)]]),"",IFERROR(Wärme[[#This Row],[Scope 1 PFCs '[kg PFCs']]]*IFERROR(VLOOKUP(Wärme[[#This Row],[Emissionsquelle/Aktivität (Dropdown)]],GWP_100[],7,FALSE),0),0))</f>
        <v/>
      </c>
      <c r="BJ29" s="15" t="str">
        <f>IF(ISBLANK(Wärme[[#This Row],[Wert 
(Zahl)]]),"",IFERROR(Wärme[[#This Row],[Scope 1 SF6 '[kg SF6']]]*IFERROR(VLOOKUP("SF6",GWP_100[],8,FALSE),0),0))</f>
        <v/>
      </c>
      <c r="BK29" s="15" t="str">
        <f>IF(ISBLANK(Wärme[[#This Row],[Wert 
(Zahl)]]),"",IFERROR(Wärme[[#This Row],[Scope 1 NF3 '[kg NF3']]]*IFERROR(VLOOKUP("NF3",GWP_100[],9,FALSE),0),0))</f>
        <v/>
      </c>
      <c r="BL29" s="15" t="str">
        <f>IF(ISBLANK(Wärme[[#This Row],[Wert 
(Zahl)]]),"",IFERROR(Wärme[[#This Row],[Scope 1 non-Kyoto '[kg non-Kyoto gas']]]*IFERROR(VLOOKUP(Wärme[[#This Row],[Emissionsquelle/Aktivität (Dropdown)]],GWP_100[],10,FALSE),0),0))</f>
        <v/>
      </c>
      <c r="BM29" s="15" t="str">
        <f>IF(ISBLANK(Wärme[[#This Row],[Wert 
(Zahl)]]),"",IFERROR(Wärme[[#This Row],[Scope 2 CO2 '[kg CO2']]]*IFERROR(VLOOKUP("CO2",GWP_100[],3,FALSE),0),0))</f>
        <v/>
      </c>
      <c r="BN29" s="15" t="str">
        <f>IF(ISBLANK(Wärme[[#This Row],[Wert 
(Zahl)]]),"",IFERROR(Wärme[[#This Row],[Scope 2 CH4 '[kg CH4']]]*IFERROR(VLOOKUP("CH4",GWP_100[],4,FALSE),0),0))</f>
        <v/>
      </c>
      <c r="BO29" s="15" t="str">
        <f>IF(ISBLANK(Wärme[[#This Row],[Wert 
(Zahl)]]),"",IFERROR(Wärme[[#This Row],[Scope 2 N2O '[kg N2O']]]*IFERROR(VLOOKUP("N2O",GWP_100[],5,FALSE),0),0))</f>
        <v/>
      </c>
      <c r="BP29" s="15" t="str">
        <f>IF(ISBLANK(Wärme[[#This Row],[Wert 
(Zahl)]]),"",IFERROR(Wärme[[#This Row],[Scope 2 HFCs '[kg HFCs']]]*IFERROR(VLOOKUP(Wärme[[#This Row],[Emissionsquelle/Aktivität (Dropdown)]],GWP_100[],6,FALSE),0),0))</f>
        <v/>
      </c>
      <c r="BQ29" s="15" t="str">
        <f>IF(ISBLANK(Wärme[[#This Row],[Wert 
(Zahl)]]),"",IFERROR(Wärme[[#This Row],[Scope 2 PFCs '[kg PFCs']]]*IFERROR(VLOOKUP(Wärme[[#This Row],[Emissionsquelle/Aktivität (Dropdown)]],GWP_100[],7,FALSE),0),0))</f>
        <v/>
      </c>
      <c r="BR29" s="15" t="str">
        <f>IF(ISBLANK(Wärme[[#This Row],[Wert 
(Zahl)]]),"",IFERROR(Wärme[[#This Row],[Scope 2 SF6 '[kg SF6']]]*IFERROR(VLOOKUP("SF6",GWP_100[],8,FALSE),0),0))</f>
        <v/>
      </c>
      <c r="BS29" s="15" t="str">
        <f>IF(ISBLANK(Wärme[[#This Row],[Wert 
(Zahl)]]),"",IFERROR(Wärme[[#This Row],[Scope 2 NF3 '[kg NF3']]]*IFERROR(VLOOKUP("NF3",GWP_100[],9,FALSE),0),0))</f>
        <v/>
      </c>
      <c r="BT29" s="15" t="str">
        <f>IF(ISBLANK(Wärme[[#This Row],[Wert 
(Zahl)]]),"",IFERROR(Wärme[[#This Row],[Scope 2 non-Kyoto '[kg non-Kyoto gas']]]*IFERROR(VLOOKUP(Wärme[[#This Row],[Emissionsquelle/Aktivität (Dropdown)]],GWP_100[],10,FALSE),0),0))</f>
        <v/>
      </c>
    </row>
    <row r="30" spans="2:72" s="89" customFormat="1" x14ac:dyDescent="0.35">
      <c r="B30" s="604"/>
      <c r="C30" s="10" t="str">
        <f t="shared" si="0"/>
        <v>Wärme</v>
      </c>
      <c r="D30" s="90"/>
      <c r="E30" s="90"/>
      <c r="F30" s="288"/>
      <c r="G30" s="10" t="str">
        <f>IFERROR(VLOOKUP(Wärme[[#This Row],[Thema_Bezeichung]],EFs_Wärme[],4,FALSE),"")</f>
        <v/>
      </c>
      <c r="H30" s="90"/>
      <c r="I30" s="90"/>
      <c r="J30" s="90"/>
      <c r="K30" s="90"/>
      <c r="L30" s="284" t="str">
        <f>IF(ISBLANK(Wärme[[#This Row],[Wert 
(Zahl)]]),"", SUM(Wärme[[#This Row],[Scope 1 CO2e '[kg CO2e']]:[Scope 3 CO2e '[kg CO2e']]]))</f>
        <v/>
      </c>
      <c r="M30" s="158"/>
      <c r="N30" s="158"/>
      <c r="O30" s="15" t="str">
        <f>IF(ISBLANK(Wärme[[#This Row],[Emissionsquelle/Aktivität (Dropdown)]]),"",CONCATENATE(Wärme[[#This Row],[Sektor_Thema]]," - ",Wärme[[#This Row],[Emissionsquelle/Aktivität (Dropdown)]]))</f>
        <v/>
      </c>
      <c r="P30" s="15" t="str">
        <f>IF(ISBLANK(Wärme[[#This Row],[Emissionsquelle/Aktivität (Dropdown)]]),"",AND(Wärme[[#This Row],[Emissionsquelle/Aktivität (Dropdown)]]="Fernwärme (Wert Energieversorger)",ISNUMBER(Wärme[[#This Row],[Fernwärme Eigenfaktor Scope 2
'[g CO2e/kWh']
(falls zutreffend)]])))</f>
        <v/>
      </c>
      <c r="Q30" s="15" t="str">
        <f>IFERROR(VLOOKUP(Wärme[[#This Row],[Thema_Bezeichung]],EFs_Wärme[],5,FALSE),"")</f>
        <v/>
      </c>
      <c r="R30" s="15" t="str">
        <f>IFERROR(VLOOKUP(Wärme[[#This Row],[Thema_Bezeichung]],EFs_Wärme[],6,FALSE),"")</f>
        <v/>
      </c>
      <c r="S30" s="15" t="str">
        <f>IFERROR(VLOOKUP(Wärme[[#This Row],[Thema_Bezeichung]],EFs_Wärme[],7,FALSE),"")</f>
        <v/>
      </c>
      <c r="T30" s="15" t="str">
        <f>IFERROR(VLOOKUP(Wärme[[#This Row],[Thema_Bezeichung]],EFs_Wärme[],8,FALSE),"")</f>
        <v/>
      </c>
      <c r="U30" s="15" t="str">
        <f>IFERROR(VLOOKUP(Wärme[[#This Row],[Thema_Bezeichung]],EFs_Wärme[],9,FALSE),"")</f>
        <v/>
      </c>
      <c r="V30" s="15" t="str">
        <f>IFERROR(VLOOKUP(Wärme[[#This Row],[Thema_Bezeichung]],EFs_Wärme[],10,FALSE),"")</f>
        <v/>
      </c>
      <c r="W30" s="15" t="str">
        <f>IFERROR(VLOOKUP(Wärme[[#This Row],[Thema_Bezeichung]],EFs_Wärme[],11,FALSE),"")</f>
        <v/>
      </c>
      <c r="X30" s="15" t="str">
        <f>IFERROR(VLOOKUP(Wärme[[#This Row],[Thema_Bezeichung]],EFs_Wärme[],12,FALSE),"")</f>
        <v/>
      </c>
      <c r="Y30" s="15" t="str">
        <f>IFERROR(VLOOKUP(Wärme[[#This Row],[Thema_Bezeichung]],EFs_Wärme[],13,FALSE),"")</f>
        <v/>
      </c>
      <c r="Z30" s="15" t="str">
        <f>IFERROR(VLOOKUP(Wärme[[#This Row],[Thema_Bezeichung]],EFs_Wärme[],14,FALSE),"")</f>
        <v/>
      </c>
      <c r="AA30" s="15" t="str">
        <f>IF(Wärme[[#This Row],[Fernwärme - Eigenfaktor angegeben?]]=TRUE,Wärme[[#This Row],[Fernwärme Eigenfaktor Scope 2
'[g CO2e/kWh']
(falls zutreffend)]]/1000,IFERROR(VLOOKUP(Wärme[[#This Row],[Thema_Bezeichung]],EFs_Wärme[],15,FALSE),""))</f>
        <v/>
      </c>
      <c r="AB30" s="15" t="str">
        <f>IFERROR(VLOOKUP(Wärme[[#This Row],[Thema_Bezeichung]],EFs_Wärme[],16,FALSE),"")</f>
        <v/>
      </c>
      <c r="AC30" s="15" t="str">
        <f>IFERROR(VLOOKUP(Wärme[[#This Row],[Thema_Bezeichung]],EFs_Wärme[],17,FALSE),"")</f>
        <v/>
      </c>
      <c r="AD30" s="15" t="str">
        <f>IFERROR(VLOOKUP(Wärme[[#This Row],[Thema_Bezeichung]],EFs_Wärme[],18,FALSE),"")</f>
        <v/>
      </c>
      <c r="AE30" s="15" t="str">
        <f>IFERROR(VLOOKUP(Wärme[[#This Row],[Thema_Bezeichung]],EFs_Wärme[],19,FALSE),"")</f>
        <v/>
      </c>
      <c r="AF30" s="15" t="str">
        <f>IFERROR(VLOOKUP(Wärme[[#This Row],[Thema_Bezeichung]],EFs_Wärme[],20,FALSE),"")</f>
        <v/>
      </c>
      <c r="AG30" s="15" t="str">
        <f>IFERROR(VLOOKUP(Wärme[[#This Row],[Thema_Bezeichung]],EFs_Wärme[],21,FALSE),"")</f>
        <v/>
      </c>
      <c r="AH30" s="15" t="str">
        <f>IFERROR(VLOOKUP(Wärme[[#This Row],[Thema_Bezeichung]],EFs_Wärme[],22,FALSE),"")</f>
        <v/>
      </c>
      <c r="AI30" s="15" t="str">
        <f>IFERROR(VLOOKUP(Wärme[[#This Row],[Thema_Bezeichung]],EFs_Wärme[],23,FALSE),"")</f>
        <v/>
      </c>
      <c r="AJ30" s="15" t="str">
        <f>IFERROR(VLOOKUP(Wärme[[#This Row],[Thema_Bezeichung]],EFs_Wärme[],24,FALSE),"")</f>
        <v/>
      </c>
      <c r="AK30" s="15" t="str">
        <f>IFERROR(Wärme[[#This Row],[Wert 
(Zahl)]]*Wärme[[#This Row],[EF Scope 1 CO2e
(kg CO2e/Einheit)]],"")</f>
        <v/>
      </c>
      <c r="AL30" s="15" t="str">
        <f>IFERROR(Wärme[[#This Row],[Wert 
(Zahl)]]*Wärme[[#This Row],[EF Scope 2 CO2e
(kg CO2e/Einheit)]],"")</f>
        <v/>
      </c>
      <c r="AM30" s="15" t="str">
        <f>IFERROR(Wärme[[#This Row],[Wert 
(Zahl)]]*Wärme[[#This Row],[EF Scope 3 CO2e
(kg CO2e/Einheit)]],"")</f>
        <v/>
      </c>
      <c r="AN30" s="15" t="str">
        <f>IFERROR(Wärme[[#This Row],[Wert 
(Zahl)]]*Wärme[[#This Row],[EF Scope 1 CO2 biogen
(kg CO2 /Einheit)]],"")</f>
        <v/>
      </c>
      <c r="AO30" s="15" t="str">
        <f>IFERROR(Wärme[[#This Row],[Wert 
(Zahl)]]*Wärme[[#This Row],[EF Scope 1 CO2
(kg CO2/Einheit)]],"")</f>
        <v/>
      </c>
      <c r="AP30" s="15" t="str">
        <f>IFERROR(Wärme[[#This Row],[Wert 
(Zahl)]]*Wärme[[#This Row],[EF Scope 1 CH4
(kg CH4/Einheit)]],"")</f>
        <v/>
      </c>
      <c r="AQ30" s="15" t="str">
        <f>IFERROR(Wärme[[#This Row],[Wert 
(Zahl)]]*Wärme[[#This Row],[EF Scope 1 N2O
(kg N2O/Einheit)]],"")</f>
        <v/>
      </c>
      <c r="AR30" s="15" t="str">
        <f>IFERROR(Wärme[[#This Row],[Wert 
(Zahl)]]*Wärme[[#This Row],[EF Scope 1 HFCs
(kg HFCs/Einheit)]],"")</f>
        <v/>
      </c>
      <c r="AS30" s="15" t="str">
        <f>IFERROR(Wärme[[#This Row],[Wert 
(Zahl)]]*Wärme[[#This Row],[EF Scope 1 PFCs
(kg PFCs/Einheit)]],"")</f>
        <v/>
      </c>
      <c r="AT30" s="15" t="str">
        <f>IFERROR(Wärme[[#This Row],[Wert 
(Zahl)]]*Wärme[[#This Row],[EF Scope 1 SF6
(kg SF6/Einheit)]],"")</f>
        <v/>
      </c>
      <c r="AU30" s="15" t="str">
        <f>IFERROR(Wärme[[#This Row],[Wert 
(Zahl)]]*Wärme[[#This Row],[EF Scope 1 NF3
(kg NF3/Einheit)]],"")</f>
        <v/>
      </c>
      <c r="AV30" s="15" t="str">
        <f>IFERROR(Wärme[[#This Row],[Wert 
(Zahl)]]*Wärme[[#This Row],[EF Scope 1 Nicht-Kyoto-Gase (kg Nicht-Kyoto-Gase/Einheit)]],"")</f>
        <v/>
      </c>
      <c r="AW30" s="15" t="str">
        <f>IFERROR(Wärme[[#This Row],[Wert 
(Zahl)]]*Wärme[[#This Row],[EF Scope 2 CO2
(kg CO2/Einheit)]],"")</f>
        <v/>
      </c>
      <c r="AX30" s="15" t="str">
        <f>IFERROR(Wärme[[#This Row],[Wert 
(Zahl)]]*Wärme[[#This Row],[EF Scope 2 CH4
(kg CH4/Einheit)]],"")</f>
        <v/>
      </c>
      <c r="AY30" s="15" t="str">
        <f>IFERROR(Wärme[[#This Row],[Wert 
(Zahl)]]*Wärme[[#This Row],[EF Scope 2 N2O
(kg N2O/Einheit)]],"")</f>
        <v/>
      </c>
      <c r="AZ30" s="15" t="str">
        <f>IFERROR(Wärme[[#This Row],[Wert 
(Zahl)]]*Wärme[[#This Row],[EF Scope 2 HFCs
(kg HFCs/Einheit)]],"")</f>
        <v/>
      </c>
      <c r="BA30" s="15" t="str">
        <f>IFERROR(Wärme[[#This Row],[Wert 
(Zahl)]]*Wärme[[#This Row],[EF Scope 2 PFCs
(kg PFCs/Einheit)]],"")</f>
        <v/>
      </c>
      <c r="BB30" s="15" t="str">
        <f>IFERROR(Wärme[[#This Row],[Wert 
(Zahl)]]*Wärme[[#This Row],[EF Scope 2 SF6
(kg SF6/Einheit)]],"")</f>
        <v/>
      </c>
      <c r="BC30" s="15" t="str">
        <f>IFERROR(Wärme[[#This Row],[Wert 
(Zahl)]]*Wärme[[#This Row],[EF Scope 2 NF3
(kg NF3/Einheit)]],"")</f>
        <v/>
      </c>
      <c r="BD30" s="15" t="str">
        <f>IFERROR(Wärme[[#This Row],[Wert 
(Zahl)]]*Wärme[[#This Row],[EF Scope 2 Nicht-Kyoto-Gase (kg Nicht-Kyoto-Gase/Einheit)]],"")</f>
        <v/>
      </c>
      <c r="BE30" s="15" t="str">
        <f>IF(ISBLANK(Wärme[[#This Row],[Wert 
(Zahl)]]),"",IFERROR(Wärme[[#This Row],[Scope 1 CO2 '[kg CO2']]]*IFERROR(VLOOKUP("CO2",GWP_100[],3,FALSE),0),0))</f>
        <v/>
      </c>
      <c r="BF30" s="15" t="str">
        <f>IF(ISBLANK(Wärme[[#This Row],[Wert 
(Zahl)]]),"",IFERROR(Wärme[[#This Row],[Scope 1 CH4 '[kg CH4']]]*IFERROR(VLOOKUP("CH4",GWP_100[],4,FALSE),0),0))</f>
        <v/>
      </c>
      <c r="BG30" s="15" t="str">
        <f>IF(ISBLANK(Wärme[[#This Row],[Wert 
(Zahl)]]),"",IFERROR(Wärme[[#This Row],[Scope 1 N2O '[kg N2O']]]*IFERROR(VLOOKUP("N2O",GWP_100[],5,FALSE),0),0))</f>
        <v/>
      </c>
      <c r="BH30" s="15" t="str">
        <f>IF(ISBLANK(Wärme[[#This Row],[Wert 
(Zahl)]]),"",IFERROR(Wärme[[#This Row],[Scope 1 HFCs '[kg HFCs']]]*IFERROR(VLOOKUP(Wärme[[#This Row],[Emissionsquelle/Aktivität (Dropdown)]],GWP_100[],6,FALSE),0),0))</f>
        <v/>
      </c>
      <c r="BI30" s="15" t="str">
        <f>IF(ISBLANK(Wärme[[#This Row],[Wert 
(Zahl)]]),"",IFERROR(Wärme[[#This Row],[Scope 1 PFCs '[kg PFCs']]]*IFERROR(VLOOKUP(Wärme[[#This Row],[Emissionsquelle/Aktivität (Dropdown)]],GWP_100[],7,FALSE),0),0))</f>
        <v/>
      </c>
      <c r="BJ30" s="15" t="str">
        <f>IF(ISBLANK(Wärme[[#This Row],[Wert 
(Zahl)]]),"",IFERROR(Wärme[[#This Row],[Scope 1 SF6 '[kg SF6']]]*IFERROR(VLOOKUP("SF6",GWP_100[],8,FALSE),0),0))</f>
        <v/>
      </c>
      <c r="BK30" s="15" t="str">
        <f>IF(ISBLANK(Wärme[[#This Row],[Wert 
(Zahl)]]),"",IFERROR(Wärme[[#This Row],[Scope 1 NF3 '[kg NF3']]]*IFERROR(VLOOKUP("NF3",GWP_100[],9,FALSE),0),0))</f>
        <v/>
      </c>
      <c r="BL30" s="15" t="str">
        <f>IF(ISBLANK(Wärme[[#This Row],[Wert 
(Zahl)]]),"",IFERROR(Wärme[[#This Row],[Scope 1 non-Kyoto '[kg non-Kyoto gas']]]*IFERROR(VLOOKUP(Wärme[[#This Row],[Emissionsquelle/Aktivität (Dropdown)]],GWP_100[],10,FALSE),0),0))</f>
        <v/>
      </c>
      <c r="BM30" s="15" t="str">
        <f>IF(ISBLANK(Wärme[[#This Row],[Wert 
(Zahl)]]),"",IFERROR(Wärme[[#This Row],[Scope 2 CO2 '[kg CO2']]]*IFERROR(VLOOKUP("CO2",GWP_100[],3,FALSE),0),0))</f>
        <v/>
      </c>
      <c r="BN30" s="15" t="str">
        <f>IF(ISBLANK(Wärme[[#This Row],[Wert 
(Zahl)]]),"",IFERROR(Wärme[[#This Row],[Scope 2 CH4 '[kg CH4']]]*IFERROR(VLOOKUP("CH4",GWP_100[],4,FALSE),0),0))</f>
        <v/>
      </c>
      <c r="BO30" s="15" t="str">
        <f>IF(ISBLANK(Wärme[[#This Row],[Wert 
(Zahl)]]),"",IFERROR(Wärme[[#This Row],[Scope 2 N2O '[kg N2O']]]*IFERROR(VLOOKUP("N2O",GWP_100[],5,FALSE),0),0))</f>
        <v/>
      </c>
      <c r="BP30" s="15" t="str">
        <f>IF(ISBLANK(Wärme[[#This Row],[Wert 
(Zahl)]]),"",IFERROR(Wärme[[#This Row],[Scope 2 HFCs '[kg HFCs']]]*IFERROR(VLOOKUP(Wärme[[#This Row],[Emissionsquelle/Aktivität (Dropdown)]],GWP_100[],6,FALSE),0),0))</f>
        <v/>
      </c>
      <c r="BQ30" s="15" t="str">
        <f>IF(ISBLANK(Wärme[[#This Row],[Wert 
(Zahl)]]),"",IFERROR(Wärme[[#This Row],[Scope 2 PFCs '[kg PFCs']]]*IFERROR(VLOOKUP(Wärme[[#This Row],[Emissionsquelle/Aktivität (Dropdown)]],GWP_100[],7,FALSE),0),0))</f>
        <v/>
      </c>
      <c r="BR30" s="15" t="str">
        <f>IF(ISBLANK(Wärme[[#This Row],[Wert 
(Zahl)]]),"",IFERROR(Wärme[[#This Row],[Scope 2 SF6 '[kg SF6']]]*IFERROR(VLOOKUP("SF6",GWP_100[],8,FALSE),0),0))</f>
        <v/>
      </c>
      <c r="BS30" s="15" t="str">
        <f>IF(ISBLANK(Wärme[[#This Row],[Wert 
(Zahl)]]),"",IFERROR(Wärme[[#This Row],[Scope 2 NF3 '[kg NF3']]]*IFERROR(VLOOKUP("NF3",GWP_100[],9,FALSE),0),0))</f>
        <v/>
      </c>
      <c r="BT30" s="15" t="str">
        <f>IF(ISBLANK(Wärme[[#This Row],[Wert 
(Zahl)]]),"",IFERROR(Wärme[[#This Row],[Scope 2 non-Kyoto '[kg non-Kyoto gas']]]*IFERROR(VLOOKUP(Wärme[[#This Row],[Emissionsquelle/Aktivität (Dropdown)]],GWP_100[],10,FALSE),0),0))</f>
        <v/>
      </c>
    </row>
    <row r="31" spans="2:72" s="89" customFormat="1" x14ac:dyDescent="0.35">
      <c r="B31" s="604"/>
      <c r="C31" s="10" t="str">
        <f t="shared" si="0"/>
        <v>Wärme</v>
      </c>
      <c r="D31" s="90"/>
      <c r="E31" s="90"/>
      <c r="F31" s="288"/>
      <c r="G31" s="10" t="str">
        <f>IFERROR(VLOOKUP(Wärme[[#This Row],[Thema_Bezeichung]],EFs_Wärme[],4,FALSE),"")</f>
        <v/>
      </c>
      <c r="H31" s="90"/>
      <c r="I31" s="90"/>
      <c r="J31" s="90"/>
      <c r="K31" s="90"/>
      <c r="L31" s="284" t="str">
        <f>IF(ISBLANK(Wärme[[#This Row],[Wert 
(Zahl)]]),"", SUM(Wärme[[#This Row],[Scope 1 CO2e '[kg CO2e']]:[Scope 3 CO2e '[kg CO2e']]]))</f>
        <v/>
      </c>
      <c r="M31" s="158"/>
      <c r="N31" s="158"/>
      <c r="O31" s="15" t="str">
        <f>IF(ISBLANK(Wärme[[#This Row],[Emissionsquelle/Aktivität (Dropdown)]]),"",CONCATENATE(Wärme[[#This Row],[Sektor_Thema]]," - ",Wärme[[#This Row],[Emissionsquelle/Aktivität (Dropdown)]]))</f>
        <v/>
      </c>
      <c r="P31" s="15" t="str">
        <f>IF(ISBLANK(Wärme[[#This Row],[Emissionsquelle/Aktivität (Dropdown)]]),"",AND(Wärme[[#This Row],[Emissionsquelle/Aktivität (Dropdown)]]="Fernwärme (Wert Energieversorger)",ISNUMBER(Wärme[[#This Row],[Fernwärme Eigenfaktor Scope 2
'[g CO2e/kWh']
(falls zutreffend)]])))</f>
        <v/>
      </c>
      <c r="Q31" s="15" t="str">
        <f>IFERROR(VLOOKUP(Wärme[[#This Row],[Thema_Bezeichung]],EFs_Wärme[],5,FALSE),"")</f>
        <v/>
      </c>
      <c r="R31" s="15" t="str">
        <f>IFERROR(VLOOKUP(Wärme[[#This Row],[Thema_Bezeichung]],EFs_Wärme[],6,FALSE),"")</f>
        <v/>
      </c>
      <c r="S31" s="15" t="str">
        <f>IFERROR(VLOOKUP(Wärme[[#This Row],[Thema_Bezeichung]],EFs_Wärme[],7,FALSE),"")</f>
        <v/>
      </c>
      <c r="T31" s="15" t="str">
        <f>IFERROR(VLOOKUP(Wärme[[#This Row],[Thema_Bezeichung]],EFs_Wärme[],8,FALSE),"")</f>
        <v/>
      </c>
      <c r="U31" s="15" t="str">
        <f>IFERROR(VLOOKUP(Wärme[[#This Row],[Thema_Bezeichung]],EFs_Wärme[],9,FALSE),"")</f>
        <v/>
      </c>
      <c r="V31" s="15" t="str">
        <f>IFERROR(VLOOKUP(Wärme[[#This Row],[Thema_Bezeichung]],EFs_Wärme[],10,FALSE),"")</f>
        <v/>
      </c>
      <c r="W31" s="15" t="str">
        <f>IFERROR(VLOOKUP(Wärme[[#This Row],[Thema_Bezeichung]],EFs_Wärme[],11,FALSE),"")</f>
        <v/>
      </c>
      <c r="X31" s="15" t="str">
        <f>IFERROR(VLOOKUP(Wärme[[#This Row],[Thema_Bezeichung]],EFs_Wärme[],12,FALSE),"")</f>
        <v/>
      </c>
      <c r="Y31" s="15" t="str">
        <f>IFERROR(VLOOKUP(Wärme[[#This Row],[Thema_Bezeichung]],EFs_Wärme[],13,FALSE),"")</f>
        <v/>
      </c>
      <c r="Z31" s="15" t="str">
        <f>IFERROR(VLOOKUP(Wärme[[#This Row],[Thema_Bezeichung]],EFs_Wärme[],14,FALSE),"")</f>
        <v/>
      </c>
      <c r="AA31" s="15" t="str">
        <f>IF(Wärme[[#This Row],[Fernwärme - Eigenfaktor angegeben?]]=TRUE,Wärme[[#This Row],[Fernwärme Eigenfaktor Scope 2
'[g CO2e/kWh']
(falls zutreffend)]]/1000,IFERROR(VLOOKUP(Wärme[[#This Row],[Thema_Bezeichung]],EFs_Wärme[],15,FALSE),""))</f>
        <v/>
      </c>
      <c r="AB31" s="15" t="str">
        <f>IFERROR(VLOOKUP(Wärme[[#This Row],[Thema_Bezeichung]],EFs_Wärme[],16,FALSE),"")</f>
        <v/>
      </c>
      <c r="AC31" s="15" t="str">
        <f>IFERROR(VLOOKUP(Wärme[[#This Row],[Thema_Bezeichung]],EFs_Wärme[],17,FALSE),"")</f>
        <v/>
      </c>
      <c r="AD31" s="15" t="str">
        <f>IFERROR(VLOOKUP(Wärme[[#This Row],[Thema_Bezeichung]],EFs_Wärme[],18,FALSE),"")</f>
        <v/>
      </c>
      <c r="AE31" s="15" t="str">
        <f>IFERROR(VLOOKUP(Wärme[[#This Row],[Thema_Bezeichung]],EFs_Wärme[],19,FALSE),"")</f>
        <v/>
      </c>
      <c r="AF31" s="15" t="str">
        <f>IFERROR(VLOOKUP(Wärme[[#This Row],[Thema_Bezeichung]],EFs_Wärme[],20,FALSE),"")</f>
        <v/>
      </c>
      <c r="AG31" s="15" t="str">
        <f>IFERROR(VLOOKUP(Wärme[[#This Row],[Thema_Bezeichung]],EFs_Wärme[],21,FALSE),"")</f>
        <v/>
      </c>
      <c r="AH31" s="15" t="str">
        <f>IFERROR(VLOOKUP(Wärme[[#This Row],[Thema_Bezeichung]],EFs_Wärme[],22,FALSE),"")</f>
        <v/>
      </c>
      <c r="AI31" s="15" t="str">
        <f>IFERROR(VLOOKUP(Wärme[[#This Row],[Thema_Bezeichung]],EFs_Wärme[],23,FALSE),"")</f>
        <v/>
      </c>
      <c r="AJ31" s="15" t="str">
        <f>IFERROR(VLOOKUP(Wärme[[#This Row],[Thema_Bezeichung]],EFs_Wärme[],24,FALSE),"")</f>
        <v/>
      </c>
      <c r="AK31" s="15" t="str">
        <f>IFERROR(Wärme[[#This Row],[Wert 
(Zahl)]]*Wärme[[#This Row],[EF Scope 1 CO2e
(kg CO2e/Einheit)]],"")</f>
        <v/>
      </c>
      <c r="AL31" s="15" t="str">
        <f>IFERROR(Wärme[[#This Row],[Wert 
(Zahl)]]*Wärme[[#This Row],[EF Scope 2 CO2e
(kg CO2e/Einheit)]],"")</f>
        <v/>
      </c>
      <c r="AM31" s="15" t="str">
        <f>IFERROR(Wärme[[#This Row],[Wert 
(Zahl)]]*Wärme[[#This Row],[EF Scope 3 CO2e
(kg CO2e/Einheit)]],"")</f>
        <v/>
      </c>
      <c r="AN31" s="15" t="str">
        <f>IFERROR(Wärme[[#This Row],[Wert 
(Zahl)]]*Wärme[[#This Row],[EF Scope 1 CO2 biogen
(kg CO2 /Einheit)]],"")</f>
        <v/>
      </c>
      <c r="AO31" s="15" t="str">
        <f>IFERROR(Wärme[[#This Row],[Wert 
(Zahl)]]*Wärme[[#This Row],[EF Scope 1 CO2
(kg CO2/Einheit)]],"")</f>
        <v/>
      </c>
      <c r="AP31" s="15" t="str">
        <f>IFERROR(Wärme[[#This Row],[Wert 
(Zahl)]]*Wärme[[#This Row],[EF Scope 1 CH4
(kg CH4/Einheit)]],"")</f>
        <v/>
      </c>
      <c r="AQ31" s="15" t="str">
        <f>IFERROR(Wärme[[#This Row],[Wert 
(Zahl)]]*Wärme[[#This Row],[EF Scope 1 N2O
(kg N2O/Einheit)]],"")</f>
        <v/>
      </c>
      <c r="AR31" s="15" t="str">
        <f>IFERROR(Wärme[[#This Row],[Wert 
(Zahl)]]*Wärme[[#This Row],[EF Scope 1 HFCs
(kg HFCs/Einheit)]],"")</f>
        <v/>
      </c>
      <c r="AS31" s="15" t="str">
        <f>IFERROR(Wärme[[#This Row],[Wert 
(Zahl)]]*Wärme[[#This Row],[EF Scope 1 PFCs
(kg PFCs/Einheit)]],"")</f>
        <v/>
      </c>
      <c r="AT31" s="15" t="str">
        <f>IFERROR(Wärme[[#This Row],[Wert 
(Zahl)]]*Wärme[[#This Row],[EF Scope 1 SF6
(kg SF6/Einheit)]],"")</f>
        <v/>
      </c>
      <c r="AU31" s="15" t="str">
        <f>IFERROR(Wärme[[#This Row],[Wert 
(Zahl)]]*Wärme[[#This Row],[EF Scope 1 NF3
(kg NF3/Einheit)]],"")</f>
        <v/>
      </c>
      <c r="AV31" s="15" t="str">
        <f>IFERROR(Wärme[[#This Row],[Wert 
(Zahl)]]*Wärme[[#This Row],[EF Scope 1 Nicht-Kyoto-Gase (kg Nicht-Kyoto-Gase/Einheit)]],"")</f>
        <v/>
      </c>
      <c r="AW31" s="15" t="str">
        <f>IFERROR(Wärme[[#This Row],[Wert 
(Zahl)]]*Wärme[[#This Row],[EF Scope 2 CO2
(kg CO2/Einheit)]],"")</f>
        <v/>
      </c>
      <c r="AX31" s="15" t="str">
        <f>IFERROR(Wärme[[#This Row],[Wert 
(Zahl)]]*Wärme[[#This Row],[EF Scope 2 CH4
(kg CH4/Einheit)]],"")</f>
        <v/>
      </c>
      <c r="AY31" s="15" t="str">
        <f>IFERROR(Wärme[[#This Row],[Wert 
(Zahl)]]*Wärme[[#This Row],[EF Scope 2 N2O
(kg N2O/Einheit)]],"")</f>
        <v/>
      </c>
      <c r="AZ31" s="15" t="str">
        <f>IFERROR(Wärme[[#This Row],[Wert 
(Zahl)]]*Wärme[[#This Row],[EF Scope 2 HFCs
(kg HFCs/Einheit)]],"")</f>
        <v/>
      </c>
      <c r="BA31" s="15" t="str">
        <f>IFERROR(Wärme[[#This Row],[Wert 
(Zahl)]]*Wärme[[#This Row],[EF Scope 2 PFCs
(kg PFCs/Einheit)]],"")</f>
        <v/>
      </c>
      <c r="BB31" s="15" t="str">
        <f>IFERROR(Wärme[[#This Row],[Wert 
(Zahl)]]*Wärme[[#This Row],[EF Scope 2 SF6
(kg SF6/Einheit)]],"")</f>
        <v/>
      </c>
      <c r="BC31" s="15" t="str">
        <f>IFERROR(Wärme[[#This Row],[Wert 
(Zahl)]]*Wärme[[#This Row],[EF Scope 2 NF3
(kg NF3/Einheit)]],"")</f>
        <v/>
      </c>
      <c r="BD31" s="15" t="str">
        <f>IFERROR(Wärme[[#This Row],[Wert 
(Zahl)]]*Wärme[[#This Row],[EF Scope 2 Nicht-Kyoto-Gase (kg Nicht-Kyoto-Gase/Einheit)]],"")</f>
        <v/>
      </c>
      <c r="BE31" s="15" t="str">
        <f>IF(ISBLANK(Wärme[[#This Row],[Wert 
(Zahl)]]),"",IFERROR(Wärme[[#This Row],[Scope 1 CO2 '[kg CO2']]]*IFERROR(VLOOKUP("CO2",GWP_100[],3,FALSE),0),0))</f>
        <v/>
      </c>
      <c r="BF31" s="15" t="str">
        <f>IF(ISBLANK(Wärme[[#This Row],[Wert 
(Zahl)]]),"",IFERROR(Wärme[[#This Row],[Scope 1 CH4 '[kg CH4']]]*IFERROR(VLOOKUP("CH4",GWP_100[],4,FALSE),0),0))</f>
        <v/>
      </c>
      <c r="BG31" s="15" t="str">
        <f>IF(ISBLANK(Wärme[[#This Row],[Wert 
(Zahl)]]),"",IFERROR(Wärme[[#This Row],[Scope 1 N2O '[kg N2O']]]*IFERROR(VLOOKUP("N2O",GWP_100[],5,FALSE),0),0))</f>
        <v/>
      </c>
      <c r="BH31" s="15" t="str">
        <f>IF(ISBLANK(Wärme[[#This Row],[Wert 
(Zahl)]]),"",IFERROR(Wärme[[#This Row],[Scope 1 HFCs '[kg HFCs']]]*IFERROR(VLOOKUP(Wärme[[#This Row],[Emissionsquelle/Aktivität (Dropdown)]],GWP_100[],6,FALSE),0),0))</f>
        <v/>
      </c>
      <c r="BI31" s="15" t="str">
        <f>IF(ISBLANK(Wärme[[#This Row],[Wert 
(Zahl)]]),"",IFERROR(Wärme[[#This Row],[Scope 1 PFCs '[kg PFCs']]]*IFERROR(VLOOKUP(Wärme[[#This Row],[Emissionsquelle/Aktivität (Dropdown)]],GWP_100[],7,FALSE),0),0))</f>
        <v/>
      </c>
      <c r="BJ31" s="15" t="str">
        <f>IF(ISBLANK(Wärme[[#This Row],[Wert 
(Zahl)]]),"",IFERROR(Wärme[[#This Row],[Scope 1 SF6 '[kg SF6']]]*IFERROR(VLOOKUP("SF6",GWP_100[],8,FALSE),0),0))</f>
        <v/>
      </c>
      <c r="BK31" s="15" t="str">
        <f>IF(ISBLANK(Wärme[[#This Row],[Wert 
(Zahl)]]),"",IFERROR(Wärme[[#This Row],[Scope 1 NF3 '[kg NF3']]]*IFERROR(VLOOKUP("NF3",GWP_100[],9,FALSE),0),0))</f>
        <v/>
      </c>
      <c r="BL31" s="15" t="str">
        <f>IF(ISBLANK(Wärme[[#This Row],[Wert 
(Zahl)]]),"",IFERROR(Wärme[[#This Row],[Scope 1 non-Kyoto '[kg non-Kyoto gas']]]*IFERROR(VLOOKUP(Wärme[[#This Row],[Emissionsquelle/Aktivität (Dropdown)]],GWP_100[],10,FALSE),0),0))</f>
        <v/>
      </c>
      <c r="BM31" s="15" t="str">
        <f>IF(ISBLANK(Wärme[[#This Row],[Wert 
(Zahl)]]),"",IFERROR(Wärme[[#This Row],[Scope 2 CO2 '[kg CO2']]]*IFERROR(VLOOKUP("CO2",GWP_100[],3,FALSE),0),0))</f>
        <v/>
      </c>
      <c r="BN31" s="15" t="str">
        <f>IF(ISBLANK(Wärme[[#This Row],[Wert 
(Zahl)]]),"",IFERROR(Wärme[[#This Row],[Scope 2 CH4 '[kg CH4']]]*IFERROR(VLOOKUP("CH4",GWP_100[],4,FALSE),0),0))</f>
        <v/>
      </c>
      <c r="BO31" s="15" t="str">
        <f>IF(ISBLANK(Wärme[[#This Row],[Wert 
(Zahl)]]),"",IFERROR(Wärme[[#This Row],[Scope 2 N2O '[kg N2O']]]*IFERROR(VLOOKUP("N2O",GWP_100[],5,FALSE),0),0))</f>
        <v/>
      </c>
      <c r="BP31" s="15" t="str">
        <f>IF(ISBLANK(Wärme[[#This Row],[Wert 
(Zahl)]]),"",IFERROR(Wärme[[#This Row],[Scope 2 HFCs '[kg HFCs']]]*IFERROR(VLOOKUP(Wärme[[#This Row],[Emissionsquelle/Aktivität (Dropdown)]],GWP_100[],6,FALSE),0),0))</f>
        <v/>
      </c>
      <c r="BQ31" s="15" t="str">
        <f>IF(ISBLANK(Wärme[[#This Row],[Wert 
(Zahl)]]),"",IFERROR(Wärme[[#This Row],[Scope 2 PFCs '[kg PFCs']]]*IFERROR(VLOOKUP(Wärme[[#This Row],[Emissionsquelle/Aktivität (Dropdown)]],GWP_100[],7,FALSE),0),0))</f>
        <v/>
      </c>
      <c r="BR31" s="15" t="str">
        <f>IF(ISBLANK(Wärme[[#This Row],[Wert 
(Zahl)]]),"",IFERROR(Wärme[[#This Row],[Scope 2 SF6 '[kg SF6']]]*IFERROR(VLOOKUP("SF6",GWP_100[],8,FALSE),0),0))</f>
        <v/>
      </c>
      <c r="BS31" s="15" t="str">
        <f>IF(ISBLANK(Wärme[[#This Row],[Wert 
(Zahl)]]),"",IFERROR(Wärme[[#This Row],[Scope 2 NF3 '[kg NF3']]]*IFERROR(VLOOKUP("NF3",GWP_100[],9,FALSE),0),0))</f>
        <v/>
      </c>
      <c r="BT31" s="15" t="str">
        <f>IF(ISBLANK(Wärme[[#This Row],[Wert 
(Zahl)]]),"",IFERROR(Wärme[[#This Row],[Scope 2 non-Kyoto '[kg non-Kyoto gas']]]*IFERROR(VLOOKUP(Wärme[[#This Row],[Emissionsquelle/Aktivität (Dropdown)]],GWP_100[],10,FALSE),0),0))</f>
        <v/>
      </c>
    </row>
    <row r="32" spans="2:72" s="89" customFormat="1" x14ac:dyDescent="0.35">
      <c r="B32" s="604"/>
      <c r="C32" s="10" t="str">
        <f t="shared" si="0"/>
        <v>Wärme</v>
      </c>
      <c r="D32" s="90"/>
      <c r="E32" s="90"/>
      <c r="F32" s="288"/>
      <c r="G32" s="10" t="str">
        <f>IFERROR(VLOOKUP(Wärme[[#This Row],[Thema_Bezeichung]],EFs_Wärme[],4,FALSE),"")</f>
        <v/>
      </c>
      <c r="H32" s="90"/>
      <c r="I32" s="90"/>
      <c r="J32" s="90"/>
      <c r="K32" s="90"/>
      <c r="L32" s="284" t="str">
        <f>IF(ISBLANK(Wärme[[#This Row],[Wert 
(Zahl)]]),"", SUM(Wärme[[#This Row],[Scope 1 CO2e '[kg CO2e']]:[Scope 3 CO2e '[kg CO2e']]]))</f>
        <v/>
      </c>
      <c r="M32" s="158"/>
      <c r="N32" s="158"/>
      <c r="O32" s="15" t="str">
        <f>IF(ISBLANK(Wärme[[#This Row],[Emissionsquelle/Aktivität (Dropdown)]]),"",CONCATENATE(Wärme[[#This Row],[Sektor_Thema]]," - ",Wärme[[#This Row],[Emissionsquelle/Aktivität (Dropdown)]]))</f>
        <v/>
      </c>
      <c r="P32" s="15" t="str">
        <f>IF(ISBLANK(Wärme[[#This Row],[Emissionsquelle/Aktivität (Dropdown)]]),"",AND(Wärme[[#This Row],[Emissionsquelle/Aktivität (Dropdown)]]="Fernwärme (Wert Energieversorger)",ISNUMBER(Wärme[[#This Row],[Fernwärme Eigenfaktor Scope 2
'[g CO2e/kWh']
(falls zutreffend)]])))</f>
        <v/>
      </c>
      <c r="Q32" s="15" t="str">
        <f>IFERROR(VLOOKUP(Wärme[[#This Row],[Thema_Bezeichung]],EFs_Wärme[],5,FALSE),"")</f>
        <v/>
      </c>
      <c r="R32" s="15" t="str">
        <f>IFERROR(VLOOKUP(Wärme[[#This Row],[Thema_Bezeichung]],EFs_Wärme[],6,FALSE),"")</f>
        <v/>
      </c>
      <c r="S32" s="15" t="str">
        <f>IFERROR(VLOOKUP(Wärme[[#This Row],[Thema_Bezeichung]],EFs_Wärme[],7,FALSE),"")</f>
        <v/>
      </c>
      <c r="T32" s="15" t="str">
        <f>IFERROR(VLOOKUP(Wärme[[#This Row],[Thema_Bezeichung]],EFs_Wärme[],8,FALSE),"")</f>
        <v/>
      </c>
      <c r="U32" s="15" t="str">
        <f>IFERROR(VLOOKUP(Wärme[[#This Row],[Thema_Bezeichung]],EFs_Wärme[],9,FALSE),"")</f>
        <v/>
      </c>
      <c r="V32" s="15" t="str">
        <f>IFERROR(VLOOKUP(Wärme[[#This Row],[Thema_Bezeichung]],EFs_Wärme[],10,FALSE),"")</f>
        <v/>
      </c>
      <c r="W32" s="15" t="str">
        <f>IFERROR(VLOOKUP(Wärme[[#This Row],[Thema_Bezeichung]],EFs_Wärme[],11,FALSE),"")</f>
        <v/>
      </c>
      <c r="X32" s="15" t="str">
        <f>IFERROR(VLOOKUP(Wärme[[#This Row],[Thema_Bezeichung]],EFs_Wärme[],12,FALSE),"")</f>
        <v/>
      </c>
      <c r="Y32" s="15" t="str">
        <f>IFERROR(VLOOKUP(Wärme[[#This Row],[Thema_Bezeichung]],EFs_Wärme[],13,FALSE),"")</f>
        <v/>
      </c>
      <c r="Z32" s="15" t="str">
        <f>IFERROR(VLOOKUP(Wärme[[#This Row],[Thema_Bezeichung]],EFs_Wärme[],14,FALSE),"")</f>
        <v/>
      </c>
      <c r="AA32" s="15" t="str">
        <f>IF(Wärme[[#This Row],[Fernwärme - Eigenfaktor angegeben?]]=TRUE,Wärme[[#This Row],[Fernwärme Eigenfaktor Scope 2
'[g CO2e/kWh']
(falls zutreffend)]]/1000,IFERROR(VLOOKUP(Wärme[[#This Row],[Thema_Bezeichung]],EFs_Wärme[],15,FALSE),""))</f>
        <v/>
      </c>
      <c r="AB32" s="15" t="str">
        <f>IFERROR(VLOOKUP(Wärme[[#This Row],[Thema_Bezeichung]],EFs_Wärme[],16,FALSE),"")</f>
        <v/>
      </c>
      <c r="AC32" s="15" t="str">
        <f>IFERROR(VLOOKUP(Wärme[[#This Row],[Thema_Bezeichung]],EFs_Wärme[],17,FALSE),"")</f>
        <v/>
      </c>
      <c r="AD32" s="15" t="str">
        <f>IFERROR(VLOOKUP(Wärme[[#This Row],[Thema_Bezeichung]],EFs_Wärme[],18,FALSE),"")</f>
        <v/>
      </c>
      <c r="AE32" s="15" t="str">
        <f>IFERROR(VLOOKUP(Wärme[[#This Row],[Thema_Bezeichung]],EFs_Wärme[],19,FALSE),"")</f>
        <v/>
      </c>
      <c r="AF32" s="15" t="str">
        <f>IFERROR(VLOOKUP(Wärme[[#This Row],[Thema_Bezeichung]],EFs_Wärme[],20,FALSE),"")</f>
        <v/>
      </c>
      <c r="AG32" s="15" t="str">
        <f>IFERROR(VLOOKUP(Wärme[[#This Row],[Thema_Bezeichung]],EFs_Wärme[],21,FALSE),"")</f>
        <v/>
      </c>
      <c r="AH32" s="15" t="str">
        <f>IFERROR(VLOOKUP(Wärme[[#This Row],[Thema_Bezeichung]],EFs_Wärme[],22,FALSE),"")</f>
        <v/>
      </c>
      <c r="AI32" s="15" t="str">
        <f>IFERROR(VLOOKUP(Wärme[[#This Row],[Thema_Bezeichung]],EFs_Wärme[],23,FALSE),"")</f>
        <v/>
      </c>
      <c r="AJ32" s="15" t="str">
        <f>IFERROR(VLOOKUP(Wärme[[#This Row],[Thema_Bezeichung]],EFs_Wärme[],24,FALSE),"")</f>
        <v/>
      </c>
      <c r="AK32" s="15" t="str">
        <f>IFERROR(Wärme[[#This Row],[Wert 
(Zahl)]]*Wärme[[#This Row],[EF Scope 1 CO2e
(kg CO2e/Einheit)]],"")</f>
        <v/>
      </c>
      <c r="AL32" s="15" t="str">
        <f>IFERROR(Wärme[[#This Row],[Wert 
(Zahl)]]*Wärme[[#This Row],[EF Scope 2 CO2e
(kg CO2e/Einheit)]],"")</f>
        <v/>
      </c>
      <c r="AM32" s="15" t="str">
        <f>IFERROR(Wärme[[#This Row],[Wert 
(Zahl)]]*Wärme[[#This Row],[EF Scope 3 CO2e
(kg CO2e/Einheit)]],"")</f>
        <v/>
      </c>
      <c r="AN32" s="15" t="str">
        <f>IFERROR(Wärme[[#This Row],[Wert 
(Zahl)]]*Wärme[[#This Row],[EF Scope 1 CO2 biogen
(kg CO2 /Einheit)]],"")</f>
        <v/>
      </c>
      <c r="AO32" s="15" t="str">
        <f>IFERROR(Wärme[[#This Row],[Wert 
(Zahl)]]*Wärme[[#This Row],[EF Scope 1 CO2
(kg CO2/Einheit)]],"")</f>
        <v/>
      </c>
      <c r="AP32" s="15" t="str">
        <f>IFERROR(Wärme[[#This Row],[Wert 
(Zahl)]]*Wärme[[#This Row],[EF Scope 1 CH4
(kg CH4/Einheit)]],"")</f>
        <v/>
      </c>
      <c r="AQ32" s="15" t="str">
        <f>IFERROR(Wärme[[#This Row],[Wert 
(Zahl)]]*Wärme[[#This Row],[EF Scope 1 N2O
(kg N2O/Einheit)]],"")</f>
        <v/>
      </c>
      <c r="AR32" s="15" t="str">
        <f>IFERROR(Wärme[[#This Row],[Wert 
(Zahl)]]*Wärme[[#This Row],[EF Scope 1 HFCs
(kg HFCs/Einheit)]],"")</f>
        <v/>
      </c>
      <c r="AS32" s="15" t="str">
        <f>IFERROR(Wärme[[#This Row],[Wert 
(Zahl)]]*Wärme[[#This Row],[EF Scope 1 PFCs
(kg PFCs/Einheit)]],"")</f>
        <v/>
      </c>
      <c r="AT32" s="15" t="str">
        <f>IFERROR(Wärme[[#This Row],[Wert 
(Zahl)]]*Wärme[[#This Row],[EF Scope 1 SF6
(kg SF6/Einheit)]],"")</f>
        <v/>
      </c>
      <c r="AU32" s="15" t="str">
        <f>IFERROR(Wärme[[#This Row],[Wert 
(Zahl)]]*Wärme[[#This Row],[EF Scope 1 NF3
(kg NF3/Einheit)]],"")</f>
        <v/>
      </c>
      <c r="AV32" s="15" t="str">
        <f>IFERROR(Wärme[[#This Row],[Wert 
(Zahl)]]*Wärme[[#This Row],[EF Scope 1 Nicht-Kyoto-Gase (kg Nicht-Kyoto-Gase/Einheit)]],"")</f>
        <v/>
      </c>
      <c r="AW32" s="15" t="str">
        <f>IFERROR(Wärme[[#This Row],[Wert 
(Zahl)]]*Wärme[[#This Row],[EF Scope 2 CO2
(kg CO2/Einheit)]],"")</f>
        <v/>
      </c>
      <c r="AX32" s="15" t="str">
        <f>IFERROR(Wärme[[#This Row],[Wert 
(Zahl)]]*Wärme[[#This Row],[EF Scope 2 CH4
(kg CH4/Einheit)]],"")</f>
        <v/>
      </c>
      <c r="AY32" s="15" t="str">
        <f>IFERROR(Wärme[[#This Row],[Wert 
(Zahl)]]*Wärme[[#This Row],[EF Scope 2 N2O
(kg N2O/Einheit)]],"")</f>
        <v/>
      </c>
      <c r="AZ32" s="15" t="str">
        <f>IFERROR(Wärme[[#This Row],[Wert 
(Zahl)]]*Wärme[[#This Row],[EF Scope 2 HFCs
(kg HFCs/Einheit)]],"")</f>
        <v/>
      </c>
      <c r="BA32" s="15" t="str">
        <f>IFERROR(Wärme[[#This Row],[Wert 
(Zahl)]]*Wärme[[#This Row],[EF Scope 2 PFCs
(kg PFCs/Einheit)]],"")</f>
        <v/>
      </c>
      <c r="BB32" s="15" t="str">
        <f>IFERROR(Wärme[[#This Row],[Wert 
(Zahl)]]*Wärme[[#This Row],[EF Scope 2 SF6
(kg SF6/Einheit)]],"")</f>
        <v/>
      </c>
      <c r="BC32" s="15" t="str">
        <f>IFERROR(Wärme[[#This Row],[Wert 
(Zahl)]]*Wärme[[#This Row],[EF Scope 2 NF3
(kg NF3/Einheit)]],"")</f>
        <v/>
      </c>
      <c r="BD32" s="15" t="str">
        <f>IFERROR(Wärme[[#This Row],[Wert 
(Zahl)]]*Wärme[[#This Row],[EF Scope 2 Nicht-Kyoto-Gase (kg Nicht-Kyoto-Gase/Einheit)]],"")</f>
        <v/>
      </c>
      <c r="BE32" s="15" t="str">
        <f>IF(ISBLANK(Wärme[[#This Row],[Wert 
(Zahl)]]),"",IFERROR(Wärme[[#This Row],[Scope 1 CO2 '[kg CO2']]]*IFERROR(VLOOKUP("CO2",GWP_100[],3,FALSE),0),0))</f>
        <v/>
      </c>
      <c r="BF32" s="15" t="str">
        <f>IF(ISBLANK(Wärme[[#This Row],[Wert 
(Zahl)]]),"",IFERROR(Wärme[[#This Row],[Scope 1 CH4 '[kg CH4']]]*IFERROR(VLOOKUP("CH4",GWP_100[],4,FALSE),0),0))</f>
        <v/>
      </c>
      <c r="BG32" s="15" t="str">
        <f>IF(ISBLANK(Wärme[[#This Row],[Wert 
(Zahl)]]),"",IFERROR(Wärme[[#This Row],[Scope 1 N2O '[kg N2O']]]*IFERROR(VLOOKUP("N2O",GWP_100[],5,FALSE),0),0))</f>
        <v/>
      </c>
      <c r="BH32" s="15" t="str">
        <f>IF(ISBLANK(Wärme[[#This Row],[Wert 
(Zahl)]]),"",IFERROR(Wärme[[#This Row],[Scope 1 HFCs '[kg HFCs']]]*IFERROR(VLOOKUP(Wärme[[#This Row],[Emissionsquelle/Aktivität (Dropdown)]],GWP_100[],6,FALSE),0),0))</f>
        <v/>
      </c>
      <c r="BI32" s="15" t="str">
        <f>IF(ISBLANK(Wärme[[#This Row],[Wert 
(Zahl)]]),"",IFERROR(Wärme[[#This Row],[Scope 1 PFCs '[kg PFCs']]]*IFERROR(VLOOKUP(Wärme[[#This Row],[Emissionsquelle/Aktivität (Dropdown)]],GWP_100[],7,FALSE),0),0))</f>
        <v/>
      </c>
      <c r="BJ32" s="15" t="str">
        <f>IF(ISBLANK(Wärme[[#This Row],[Wert 
(Zahl)]]),"",IFERROR(Wärme[[#This Row],[Scope 1 SF6 '[kg SF6']]]*IFERROR(VLOOKUP("SF6",GWP_100[],8,FALSE),0),0))</f>
        <v/>
      </c>
      <c r="BK32" s="15" t="str">
        <f>IF(ISBLANK(Wärme[[#This Row],[Wert 
(Zahl)]]),"",IFERROR(Wärme[[#This Row],[Scope 1 NF3 '[kg NF3']]]*IFERROR(VLOOKUP("NF3",GWP_100[],9,FALSE),0),0))</f>
        <v/>
      </c>
      <c r="BL32" s="15" t="str">
        <f>IF(ISBLANK(Wärme[[#This Row],[Wert 
(Zahl)]]),"",IFERROR(Wärme[[#This Row],[Scope 1 non-Kyoto '[kg non-Kyoto gas']]]*IFERROR(VLOOKUP(Wärme[[#This Row],[Emissionsquelle/Aktivität (Dropdown)]],GWP_100[],10,FALSE),0),0))</f>
        <v/>
      </c>
      <c r="BM32" s="15" t="str">
        <f>IF(ISBLANK(Wärme[[#This Row],[Wert 
(Zahl)]]),"",IFERROR(Wärme[[#This Row],[Scope 2 CO2 '[kg CO2']]]*IFERROR(VLOOKUP("CO2",GWP_100[],3,FALSE),0),0))</f>
        <v/>
      </c>
      <c r="BN32" s="15" t="str">
        <f>IF(ISBLANK(Wärme[[#This Row],[Wert 
(Zahl)]]),"",IFERROR(Wärme[[#This Row],[Scope 2 CH4 '[kg CH4']]]*IFERROR(VLOOKUP("CH4",GWP_100[],4,FALSE),0),0))</f>
        <v/>
      </c>
      <c r="BO32" s="15" t="str">
        <f>IF(ISBLANK(Wärme[[#This Row],[Wert 
(Zahl)]]),"",IFERROR(Wärme[[#This Row],[Scope 2 N2O '[kg N2O']]]*IFERROR(VLOOKUP("N2O",GWP_100[],5,FALSE),0),0))</f>
        <v/>
      </c>
      <c r="BP32" s="15" t="str">
        <f>IF(ISBLANK(Wärme[[#This Row],[Wert 
(Zahl)]]),"",IFERROR(Wärme[[#This Row],[Scope 2 HFCs '[kg HFCs']]]*IFERROR(VLOOKUP(Wärme[[#This Row],[Emissionsquelle/Aktivität (Dropdown)]],GWP_100[],6,FALSE),0),0))</f>
        <v/>
      </c>
      <c r="BQ32" s="15" t="str">
        <f>IF(ISBLANK(Wärme[[#This Row],[Wert 
(Zahl)]]),"",IFERROR(Wärme[[#This Row],[Scope 2 PFCs '[kg PFCs']]]*IFERROR(VLOOKUP(Wärme[[#This Row],[Emissionsquelle/Aktivität (Dropdown)]],GWP_100[],7,FALSE),0),0))</f>
        <v/>
      </c>
      <c r="BR32" s="15" t="str">
        <f>IF(ISBLANK(Wärme[[#This Row],[Wert 
(Zahl)]]),"",IFERROR(Wärme[[#This Row],[Scope 2 SF6 '[kg SF6']]]*IFERROR(VLOOKUP("SF6",GWP_100[],8,FALSE),0),0))</f>
        <v/>
      </c>
      <c r="BS32" s="15" t="str">
        <f>IF(ISBLANK(Wärme[[#This Row],[Wert 
(Zahl)]]),"",IFERROR(Wärme[[#This Row],[Scope 2 NF3 '[kg NF3']]]*IFERROR(VLOOKUP("NF3",GWP_100[],9,FALSE),0),0))</f>
        <v/>
      </c>
      <c r="BT32" s="15" t="str">
        <f>IF(ISBLANK(Wärme[[#This Row],[Wert 
(Zahl)]]),"",IFERROR(Wärme[[#This Row],[Scope 2 non-Kyoto '[kg non-Kyoto gas']]]*IFERROR(VLOOKUP(Wärme[[#This Row],[Emissionsquelle/Aktivität (Dropdown)]],GWP_100[],10,FALSE),0),0))</f>
        <v/>
      </c>
    </row>
    <row r="33" spans="2:72" s="89" customFormat="1" x14ac:dyDescent="0.35">
      <c r="B33" s="604"/>
      <c r="C33" s="10" t="str">
        <f t="shared" si="0"/>
        <v>Wärme</v>
      </c>
      <c r="D33" s="90"/>
      <c r="E33" s="90"/>
      <c r="F33" s="288"/>
      <c r="G33" s="10" t="str">
        <f>IFERROR(VLOOKUP(Wärme[[#This Row],[Thema_Bezeichung]],EFs_Wärme[],4,FALSE),"")</f>
        <v/>
      </c>
      <c r="H33" s="90"/>
      <c r="I33" s="90"/>
      <c r="J33" s="90"/>
      <c r="K33" s="90"/>
      <c r="L33" s="284" t="str">
        <f>IF(ISBLANK(Wärme[[#This Row],[Wert 
(Zahl)]]),"", SUM(Wärme[[#This Row],[Scope 1 CO2e '[kg CO2e']]:[Scope 3 CO2e '[kg CO2e']]]))</f>
        <v/>
      </c>
      <c r="M33" s="158"/>
      <c r="N33" s="158"/>
      <c r="O33" s="15" t="str">
        <f>IF(ISBLANK(Wärme[[#This Row],[Emissionsquelle/Aktivität (Dropdown)]]),"",CONCATENATE(Wärme[[#This Row],[Sektor_Thema]]," - ",Wärme[[#This Row],[Emissionsquelle/Aktivität (Dropdown)]]))</f>
        <v/>
      </c>
      <c r="P33" s="15" t="str">
        <f>IF(ISBLANK(Wärme[[#This Row],[Emissionsquelle/Aktivität (Dropdown)]]),"",AND(Wärme[[#This Row],[Emissionsquelle/Aktivität (Dropdown)]]="Fernwärme (Wert Energieversorger)",ISNUMBER(Wärme[[#This Row],[Fernwärme Eigenfaktor Scope 2
'[g CO2e/kWh']
(falls zutreffend)]])))</f>
        <v/>
      </c>
      <c r="Q33" s="15" t="str">
        <f>IFERROR(VLOOKUP(Wärme[[#This Row],[Thema_Bezeichung]],EFs_Wärme[],5,FALSE),"")</f>
        <v/>
      </c>
      <c r="R33" s="15" t="str">
        <f>IFERROR(VLOOKUP(Wärme[[#This Row],[Thema_Bezeichung]],EFs_Wärme[],6,FALSE),"")</f>
        <v/>
      </c>
      <c r="S33" s="15" t="str">
        <f>IFERROR(VLOOKUP(Wärme[[#This Row],[Thema_Bezeichung]],EFs_Wärme[],7,FALSE),"")</f>
        <v/>
      </c>
      <c r="T33" s="15" t="str">
        <f>IFERROR(VLOOKUP(Wärme[[#This Row],[Thema_Bezeichung]],EFs_Wärme[],8,FALSE),"")</f>
        <v/>
      </c>
      <c r="U33" s="15" t="str">
        <f>IFERROR(VLOOKUP(Wärme[[#This Row],[Thema_Bezeichung]],EFs_Wärme[],9,FALSE),"")</f>
        <v/>
      </c>
      <c r="V33" s="15" t="str">
        <f>IFERROR(VLOOKUP(Wärme[[#This Row],[Thema_Bezeichung]],EFs_Wärme[],10,FALSE),"")</f>
        <v/>
      </c>
      <c r="W33" s="15" t="str">
        <f>IFERROR(VLOOKUP(Wärme[[#This Row],[Thema_Bezeichung]],EFs_Wärme[],11,FALSE),"")</f>
        <v/>
      </c>
      <c r="X33" s="15" t="str">
        <f>IFERROR(VLOOKUP(Wärme[[#This Row],[Thema_Bezeichung]],EFs_Wärme[],12,FALSE),"")</f>
        <v/>
      </c>
      <c r="Y33" s="15" t="str">
        <f>IFERROR(VLOOKUP(Wärme[[#This Row],[Thema_Bezeichung]],EFs_Wärme[],13,FALSE),"")</f>
        <v/>
      </c>
      <c r="Z33" s="15" t="str">
        <f>IFERROR(VLOOKUP(Wärme[[#This Row],[Thema_Bezeichung]],EFs_Wärme[],14,FALSE),"")</f>
        <v/>
      </c>
      <c r="AA33" s="15" t="str">
        <f>IF(Wärme[[#This Row],[Fernwärme - Eigenfaktor angegeben?]]=TRUE,Wärme[[#This Row],[Fernwärme Eigenfaktor Scope 2
'[g CO2e/kWh']
(falls zutreffend)]]/1000,IFERROR(VLOOKUP(Wärme[[#This Row],[Thema_Bezeichung]],EFs_Wärme[],15,FALSE),""))</f>
        <v/>
      </c>
      <c r="AB33" s="15" t="str">
        <f>IFERROR(VLOOKUP(Wärme[[#This Row],[Thema_Bezeichung]],EFs_Wärme[],16,FALSE),"")</f>
        <v/>
      </c>
      <c r="AC33" s="15" t="str">
        <f>IFERROR(VLOOKUP(Wärme[[#This Row],[Thema_Bezeichung]],EFs_Wärme[],17,FALSE),"")</f>
        <v/>
      </c>
      <c r="AD33" s="15" t="str">
        <f>IFERROR(VLOOKUP(Wärme[[#This Row],[Thema_Bezeichung]],EFs_Wärme[],18,FALSE),"")</f>
        <v/>
      </c>
      <c r="AE33" s="15" t="str">
        <f>IFERROR(VLOOKUP(Wärme[[#This Row],[Thema_Bezeichung]],EFs_Wärme[],19,FALSE),"")</f>
        <v/>
      </c>
      <c r="AF33" s="15" t="str">
        <f>IFERROR(VLOOKUP(Wärme[[#This Row],[Thema_Bezeichung]],EFs_Wärme[],20,FALSE),"")</f>
        <v/>
      </c>
      <c r="AG33" s="15" t="str">
        <f>IFERROR(VLOOKUP(Wärme[[#This Row],[Thema_Bezeichung]],EFs_Wärme[],21,FALSE),"")</f>
        <v/>
      </c>
      <c r="AH33" s="15" t="str">
        <f>IFERROR(VLOOKUP(Wärme[[#This Row],[Thema_Bezeichung]],EFs_Wärme[],22,FALSE),"")</f>
        <v/>
      </c>
      <c r="AI33" s="15" t="str">
        <f>IFERROR(VLOOKUP(Wärme[[#This Row],[Thema_Bezeichung]],EFs_Wärme[],23,FALSE),"")</f>
        <v/>
      </c>
      <c r="AJ33" s="15" t="str">
        <f>IFERROR(VLOOKUP(Wärme[[#This Row],[Thema_Bezeichung]],EFs_Wärme[],24,FALSE),"")</f>
        <v/>
      </c>
      <c r="AK33" s="15" t="str">
        <f>IFERROR(Wärme[[#This Row],[Wert 
(Zahl)]]*Wärme[[#This Row],[EF Scope 1 CO2e
(kg CO2e/Einheit)]],"")</f>
        <v/>
      </c>
      <c r="AL33" s="15" t="str">
        <f>IFERROR(Wärme[[#This Row],[Wert 
(Zahl)]]*Wärme[[#This Row],[EF Scope 2 CO2e
(kg CO2e/Einheit)]],"")</f>
        <v/>
      </c>
      <c r="AM33" s="15" t="str">
        <f>IFERROR(Wärme[[#This Row],[Wert 
(Zahl)]]*Wärme[[#This Row],[EF Scope 3 CO2e
(kg CO2e/Einheit)]],"")</f>
        <v/>
      </c>
      <c r="AN33" s="15" t="str">
        <f>IFERROR(Wärme[[#This Row],[Wert 
(Zahl)]]*Wärme[[#This Row],[EF Scope 1 CO2 biogen
(kg CO2 /Einheit)]],"")</f>
        <v/>
      </c>
      <c r="AO33" s="15" t="str">
        <f>IFERROR(Wärme[[#This Row],[Wert 
(Zahl)]]*Wärme[[#This Row],[EF Scope 1 CO2
(kg CO2/Einheit)]],"")</f>
        <v/>
      </c>
      <c r="AP33" s="15" t="str">
        <f>IFERROR(Wärme[[#This Row],[Wert 
(Zahl)]]*Wärme[[#This Row],[EF Scope 1 CH4
(kg CH4/Einheit)]],"")</f>
        <v/>
      </c>
      <c r="AQ33" s="15" t="str">
        <f>IFERROR(Wärme[[#This Row],[Wert 
(Zahl)]]*Wärme[[#This Row],[EF Scope 1 N2O
(kg N2O/Einheit)]],"")</f>
        <v/>
      </c>
      <c r="AR33" s="15" t="str">
        <f>IFERROR(Wärme[[#This Row],[Wert 
(Zahl)]]*Wärme[[#This Row],[EF Scope 1 HFCs
(kg HFCs/Einheit)]],"")</f>
        <v/>
      </c>
      <c r="AS33" s="15" t="str">
        <f>IFERROR(Wärme[[#This Row],[Wert 
(Zahl)]]*Wärme[[#This Row],[EF Scope 1 PFCs
(kg PFCs/Einheit)]],"")</f>
        <v/>
      </c>
      <c r="AT33" s="15" t="str">
        <f>IFERROR(Wärme[[#This Row],[Wert 
(Zahl)]]*Wärme[[#This Row],[EF Scope 1 SF6
(kg SF6/Einheit)]],"")</f>
        <v/>
      </c>
      <c r="AU33" s="15" t="str">
        <f>IFERROR(Wärme[[#This Row],[Wert 
(Zahl)]]*Wärme[[#This Row],[EF Scope 1 NF3
(kg NF3/Einheit)]],"")</f>
        <v/>
      </c>
      <c r="AV33" s="15" t="str">
        <f>IFERROR(Wärme[[#This Row],[Wert 
(Zahl)]]*Wärme[[#This Row],[EF Scope 1 Nicht-Kyoto-Gase (kg Nicht-Kyoto-Gase/Einheit)]],"")</f>
        <v/>
      </c>
      <c r="AW33" s="15" t="str">
        <f>IFERROR(Wärme[[#This Row],[Wert 
(Zahl)]]*Wärme[[#This Row],[EF Scope 2 CO2
(kg CO2/Einheit)]],"")</f>
        <v/>
      </c>
      <c r="AX33" s="15" t="str">
        <f>IFERROR(Wärme[[#This Row],[Wert 
(Zahl)]]*Wärme[[#This Row],[EF Scope 2 CH4
(kg CH4/Einheit)]],"")</f>
        <v/>
      </c>
      <c r="AY33" s="15" t="str">
        <f>IFERROR(Wärme[[#This Row],[Wert 
(Zahl)]]*Wärme[[#This Row],[EF Scope 2 N2O
(kg N2O/Einheit)]],"")</f>
        <v/>
      </c>
      <c r="AZ33" s="15" t="str">
        <f>IFERROR(Wärme[[#This Row],[Wert 
(Zahl)]]*Wärme[[#This Row],[EF Scope 2 HFCs
(kg HFCs/Einheit)]],"")</f>
        <v/>
      </c>
      <c r="BA33" s="15" t="str">
        <f>IFERROR(Wärme[[#This Row],[Wert 
(Zahl)]]*Wärme[[#This Row],[EF Scope 2 PFCs
(kg PFCs/Einheit)]],"")</f>
        <v/>
      </c>
      <c r="BB33" s="15" t="str">
        <f>IFERROR(Wärme[[#This Row],[Wert 
(Zahl)]]*Wärme[[#This Row],[EF Scope 2 SF6
(kg SF6/Einheit)]],"")</f>
        <v/>
      </c>
      <c r="BC33" s="15" t="str">
        <f>IFERROR(Wärme[[#This Row],[Wert 
(Zahl)]]*Wärme[[#This Row],[EF Scope 2 NF3
(kg NF3/Einheit)]],"")</f>
        <v/>
      </c>
      <c r="BD33" s="15" t="str">
        <f>IFERROR(Wärme[[#This Row],[Wert 
(Zahl)]]*Wärme[[#This Row],[EF Scope 2 Nicht-Kyoto-Gase (kg Nicht-Kyoto-Gase/Einheit)]],"")</f>
        <v/>
      </c>
      <c r="BE33" s="15" t="str">
        <f>IF(ISBLANK(Wärme[[#This Row],[Wert 
(Zahl)]]),"",IFERROR(Wärme[[#This Row],[Scope 1 CO2 '[kg CO2']]]*IFERROR(VLOOKUP("CO2",GWP_100[],3,FALSE),0),0))</f>
        <v/>
      </c>
      <c r="BF33" s="15" t="str">
        <f>IF(ISBLANK(Wärme[[#This Row],[Wert 
(Zahl)]]),"",IFERROR(Wärme[[#This Row],[Scope 1 CH4 '[kg CH4']]]*IFERROR(VLOOKUP("CH4",GWP_100[],4,FALSE),0),0))</f>
        <v/>
      </c>
      <c r="BG33" s="15" t="str">
        <f>IF(ISBLANK(Wärme[[#This Row],[Wert 
(Zahl)]]),"",IFERROR(Wärme[[#This Row],[Scope 1 N2O '[kg N2O']]]*IFERROR(VLOOKUP("N2O",GWP_100[],5,FALSE),0),0))</f>
        <v/>
      </c>
      <c r="BH33" s="15" t="str">
        <f>IF(ISBLANK(Wärme[[#This Row],[Wert 
(Zahl)]]),"",IFERROR(Wärme[[#This Row],[Scope 1 HFCs '[kg HFCs']]]*IFERROR(VLOOKUP(Wärme[[#This Row],[Emissionsquelle/Aktivität (Dropdown)]],GWP_100[],6,FALSE),0),0))</f>
        <v/>
      </c>
      <c r="BI33" s="15" t="str">
        <f>IF(ISBLANK(Wärme[[#This Row],[Wert 
(Zahl)]]),"",IFERROR(Wärme[[#This Row],[Scope 1 PFCs '[kg PFCs']]]*IFERROR(VLOOKUP(Wärme[[#This Row],[Emissionsquelle/Aktivität (Dropdown)]],GWP_100[],7,FALSE),0),0))</f>
        <v/>
      </c>
      <c r="BJ33" s="15" t="str">
        <f>IF(ISBLANK(Wärme[[#This Row],[Wert 
(Zahl)]]),"",IFERROR(Wärme[[#This Row],[Scope 1 SF6 '[kg SF6']]]*IFERROR(VLOOKUP("SF6",GWP_100[],8,FALSE),0),0))</f>
        <v/>
      </c>
      <c r="BK33" s="15" t="str">
        <f>IF(ISBLANK(Wärme[[#This Row],[Wert 
(Zahl)]]),"",IFERROR(Wärme[[#This Row],[Scope 1 NF3 '[kg NF3']]]*IFERROR(VLOOKUP("NF3",GWP_100[],9,FALSE),0),0))</f>
        <v/>
      </c>
      <c r="BL33" s="15" t="str">
        <f>IF(ISBLANK(Wärme[[#This Row],[Wert 
(Zahl)]]),"",IFERROR(Wärme[[#This Row],[Scope 1 non-Kyoto '[kg non-Kyoto gas']]]*IFERROR(VLOOKUP(Wärme[[#This Row],[Emissionsquelle/Aktivität (Dropdown)]],GWP_100[],10,FALSE),0),0))</f>
        <v/>
      </c>
      <c r="BM33" s="15" t="str">
        <f>IF(ISBLANK(Wärme[[#This Row],[Wert 
(Zahl)]]),"",IFERROR(Wärme[[#This Row],[Scope 2 CO2 '[kg CO2']]]*IFERROR(VLOOKUP("CO2",GWP_100[],3,FALSE),0),0))</f>
        <v/>
      </c>
      <c r="BN33" s="15" t="str">
        <f>IF(ISBLANK(Wärme[[#This Row],[Wert 
(Zahl)]]),"",IFERROR(Wärme[[#This Row],[Scope 2 CH4 '[kg CH4']]]*IFERROR(VLOOKUP("CH4",GWP_100[],4,FALSE),0),0))</f>
        <v/>
      </c>
      <c r="BO33" s="15" t="str">
        <f>IF(ISBLANK(Wärme[[#This Row],[Wert 
(Zahl)]]),"",IFERROR(Wärme[[#This Row],[Scope 2 N2O '[kg N2O']]]*IFERROR(VLOOKUP("N2O",GWP_100[],5,FALSE),0),0))</f>
        <v/>
      </c>
      <c r="BP33" s="15" t="str">
        <f>IF(ISBLANK(Wärme[[#This Row],[Wert 
(Zahl)]]),"",IFERROR(Wärme[[#This Row],[Scope 2 HFCs '[kg HFCs']]]*IFERROR(VLOOKUP(Wärme[[#This Row],[Emissionsquelle/Aktivität (Dropdown)]],GWP_100[],6,FALSE),0),0))</f>
        <v/>
      </c>
      <c r="BQ33" s="15" t="str">
        <f>IF(ISBLANK(Wärme[[#This Row],[Wert 
(Zahl)]]),"",IFERROR(Wärme[[#This Row],[Scope 2 PFCs '[kg PFCs']]]*IFERROR(VLOOKUP(Wärme[[#This Row],[Emissionsquelle/Aktivität (Dropdown)]],GWP_100[],7,FALSE),0),0))</f>
        <v/>
      </c>
      <c r="BR33" s="15" t="str">
        <f>IF(ISBLANK(Wärme[[#This Row],[Wert 
(Zahl)]]),"",IFERROR(Wärme[[#This Row],[Scope 2 SF6 '[kg SF6']]]*IFERROR(VLOOKUP("SF6",GWP_100[],8,FALSE),0),0))</f>
        <v/>
      </c>
      <c r="BS33" s="15" t="str">
        <f>IF(ISBLANK(Wärme[[#This Row],[Wert 
(Zahl)]]),"",IFERROR(Wärme[[#This Row],[Scope 2 NF3 '[kg NF3']]]*IFERROR(VLOOKUP("NF3",GWP_100[],9,FALSE),0),0))</f>
        <v/>
      </c>
      <c r="BT33" s="15" t="str">
        <f>IF(ISBLANK(Wärme[[#This Row],[Wert 
(Zahl)]]),"",IFERROR(Wärme[[#This Row],[Scope 2 non-Kyoto '[kg non-Kyoto gas']]]*IFERROR(VLOOKUP(Wärme[[#This Row],[Emissionsquelle/Aktivität (Dropdown)]],GWP_100[],10,FALSE),0),0))</f>
        <v/>
      </c>
    </row>
    <row r="34" spans="2:72" s="89" customFormat="1" x14ac:dyDescent="0.35">
      <c r="B34" s="604"/>
      <c r="C34" s="10" t="str">
        <f t="shared" si="0"/>
        <v>Wärme</v>
      </c>
      <c r="D34" s="90"/>
      <c r="E34" s="90"/>
      <c r="F34" s="288"/>
      <c r="G34" s="10" t="str">
        <f>IFERROR(VLOOKUP(Wärme[[#This Row],[Thema_Bezeichung]],EFs_Wärme[],4,FALSE),"")</f>
        <v/>
      </c>
      <c r="H34" s="90"/>
      <c r="I34" s="90"/>
      <c r="J34" s="90"/>
      <c r="K34" s="90"/>
      <c r="L34" s="284" t="str">
        <f>IF(ISBLANK(Wärme[[#This Row],[Wert 
(Zahl)]]),"", SUM(Wärme[[#This Row],[Scope 1 CO2e '[kg CO2e']]:[Scope 3 CO2e '[kg CO2e']]]))</f>
        <v/>
      </c>
      <c r="M34" s="158"/>
      <c r="N34" s="158"/>
      <c r="O34" s="15" t="str">
        <f>IF(ISBLANK(Wärme[[#This Row],[Emissionsquelle/Aktivität (Dropdown)]]),"",CONCATENATE(Wärme[[#This Row],[Sektor_Thema]]," - ",Wärme[[#This Row],[Emissionsquelle/Aktivität (Dropdown)]]))</f>
        <v/>
      </c>
      <c r="P34" s="15" t="str">
        <f>IF(ISBLANK(Wärme[[#This Row],[Emissionsquelle/Aktivität (Dropdown)]]),"",AND(Wärme[[#This Row],[Emissionsquelle/Aktivität (Dropdown)]]="Fernwärme (Wert Energieversorger)",ISNUMBER(Wärme[[#This Row],[Fernwärme Eigenfaktor Scope 2
'[g CO2e/kWh']
(falls zutreffend)]])))</f>
        <v/>
      </c>
      <c r="Q34" s="15" t="str">
        <f>IFERROR(VLOOKUP(Wärme[[#This Row],[Thema_Bezeichung]],EFs_Wärme[],5,FALSE),"")</f>
        <v/>
      </c>
      <c r="R34" s="15" t="str">
        <f>IFERROR(VLOOKUP(Wärme[[#This Row],[Thema_Bezeichung]],EFs_Wärme[],6,FALSE),"")</f>
        <v/>
      </c>
      <c r="S34" s="15" t="str">
        <f>IFERROR(VLOOKUP(Wärme[[#This Row],[Thema_Bezeichung]],EFs_Wärme[],7,FALSE),"")</f>
        <v/>
      </c>
      <c r="T34" s="15" t="str">
        <f>IFERROR(VLOOKUP(Wärme[[#This Row],[Thema_Bezeichung]],EFs_Wärme[],8,FALSE),"")</f>
        <v/>
      </c>
      <c r="U34" s="15" t="str">
        <f>IFERROR(VLOOKUP(Wärme[[#This Row],[Thema_Bezeichung]],EFs_Wärme[],9,FALSE),"")</f>
        <v/>
      </c>
      <c r="V34" s="15" t="str">
        <f>IFERROR(VLOOKUP(Wärme[[#This Row],[Thema_Bezeichung]],EFs_Wärme[],10,FALSE),"")</f>
        <v/>
      </c>
      <c r="W34" s="15" t="str">
        <f>IFERROR(VLOOKUP(Wärme[[#This Row],[Thema_Bezeichung]],EFs_Wärme[],11,FALSE),"")</f>
        <v/>
      </c>
      <c r="X34" s="15" t="str">
        <f>IFERROR(VLOOKUP(Wärme[[#This Row],[Thema_Bezeichung]],EFs_Wärme[],12,FALSE),"")</f>
        <v/>
      </c>
      <c r="Y34" s="15" t="str">
        <f>IFERROR(VLOOKUP(Wärme[[#This Row],[Thema_Bezeichung]],EFs_Wärme[],13,FALSE),"")</f>
        <v/>
      </c>
      <c r="Z34" s="15" t="str">
        <f>IFERROR(VLOOKUP(Wärme[[#This Row],[Thema_Bezeichung]],EFs_Wärme[],14,FALSE),"")</f>
        <v/>
      </c>
      <c r="AA34" s="15" t="str">
        <f>IF(Wärme[[#This Row],[Fernwärme - Eigenfaktor angegeben?]]=TRUE,Wärme[[#This Row],[Fernwärme Eigenfaktor Scope 2
'[g CO2e/kWh']
(falls zutreffend)]]/1000,IFERROR(VLOOKUP(Wärme[[#This Row],[Thema_Bezeichung]],EFs_Wärme[],15,FALSE),""))</f>
        <v/>
      </c>
      <c r="AB34" s="15" t="str">
        <f>IFERROR(VLOOKUP(Wärme[[#This Row],[Thema_Bezeichung]],EFs_Wärme[],16,FALSE),"")</f>
        <v/>
      </c>
      <c r="AC34" s="15" t="str">
        <f>IFERROR(VLOOKUP(Wärme[[#This Row],[Thema_Bezeichung]],EFs_Wärme[],17,FALSE),"")</f>
        <v/>
      </c>
      <c r="AD34" s="15" t="str">
        <f>IFERROR(VLOOKUP(Wärme[[#This Row],[Thema_Bezeichung]],EFs_Wärme[],18,FALSE),"")</f>
        <v/>
      </c>
      <c r="AE34" s="15" t="str">
        <f>IFERROR(VLOOKUP(Wärme[[#This Row],[Thema_Bezeichung]],EFs_Wärme[],19,FALSE),"")</f>
        <v/>
      </c>
      <c r="AF34" s="15" t="str">
        <f>IFERROR(VLOOKUP(Wärme[[#This Row],[Thema_Bezeichung]],EFs_Wärme[],20,FALSE),"")</f>
        <v/>
      </c>
      <c r="AG34" s="15" t="str">
        <f>IFERROR(VLOOKUP(Wärme[[#This Row],[Thema_Bezeichung]],EFs_Wärme[],21,FALSE),"")</f>
        <v/>
      </c>
      <c r="AH34" s="15" t="str">
        <f>IFERROR(VLOOKUP(Wärme[[#This Row],[Thema_Bezeichung]],EFs_Wärme[],22,FALSE),"")</f>
        <v/>
      </c>
      <c r="AI34" s="15" t="str">
        <f>IFERROR(VLOOKUP(Wärme[[#This Row],[Thema_Bezeichung]],EFs_Wärme[],23,FALSE),"")</f>
        <v/>
      </c>
      <c r="AJ34" s="15" t="str">
        <f>IFERROR(VLOOKUP(Wärme[[#This Row],[Thema_Bezeichung]],EFs_Wärme[],24,FALSE),"")</f>
        <v/>
      </c>
      <c r="AK34" s="15" t="str">
        <f>IFERROR(Wärme[[#This Row],[Wert 
(Zahl)]]*Wärme[[#This Row],[EF Scope 1 CO2e
(kg CO2e/Einheit)]],"")</f>
        <v/>
      </c>
      <c r="AL34" s="15" t="str">
        <f>IFERROR(Wärme[[#This Row],[Wert 
(Zahl)]]*Wärme[[#This Row],[EF Scope 2 CO2e
(kg CO2e/Einheit)]],"")</f>
        <v/>
      </c>
      <c r="AM34" s="15" t="str">
        <f>IFERROR(Wärme[[#This Row],[Wert 
(Zahl)]]*Wärme[[#This Row],[EF Scope 3 CO2e
(kg CO2e/Einheit)]],"")</f>
        <v/>
      </c>
      <c r="AN34" s="15" t="str">
        <f>IFERROR(Wärme[[#This Row],[Wert 
(Zahl)]]*Wärme[[#This Row],[EF Scope 1 CO2 biogen
(kg CO2 /Einheit)]],"")</f>
        <v/>
      </c>
      <c r="AO34" s="15" t="str">
        <f>IFERROR(Wärme[[#This Row],[Wert 
(Zahl)]]*Wärme[[#This Row],[EF Scope 1 CO2
(kg CO2/Einheit)]],"")</f>
        <v/>
      </c>
      <c r="AP34" s="15" t="str">
        <f>IFERROR(Wärme[[#This Row],[Wert 
(Zahl)]]*Wärme[[#This Row],[EF Scope 1 CH4
(kg CH4/Einheit)]],"")</f>
        <v/>
      </c>
      <c r="AQ34" s="15" t="str">
        <f>IFERROR(Wärme[[#This Row],[Wert 
(Zahl)]]*Wärme[[#This Row],[EF Scope 1 N2O
(kg N2O/Einheit)]],"")</f>
        <v/>
      </c>
      <c r="AR34" s="15" t="str">
        <f>IFERROR(Wärme[[#This Row],[Wert 
(Zahl)]]*Wärme[[#This Row],[EF Scope 1 HFCs
(kg HFCs/Einheit)]],"")</f>
        <v/>
      </c>
      <c r="AS34" s="15" t="str">
        <f>IFERROR(Wärme[[#This Row],[Wert 
(Zahl)]]*Wärme[[#This Row],[EF Scope 1 PFCs
(kg PFCs/Einheit)]],"")</f>
        <v/>
      </c>
      <c r="AT34" s="15" t="str">
        <f>IFERROR(Wärme[[#This Row],[Wert 
(Zahl)]]*Wärme[[#This Row],[EF Scope 1 SF6
(kg SF6/Einheit)]],"")</f>
        <v/>
      </c>
      <c r="AU34" s="15" t="str">
        <f>IFERROR(Wärme[[#This Row],[Wert 
(Zahl)]]*Wärme[[#This Row],[EF Scope 1 NF3
(kg NF3/Einheit)]],"")</f>
        <v/>
      </c>
      <c r="AV34" s="15" t="str">
        <f>IFERROR(Wärme[[#This Row],[Wert 
(Zahl)]]*Wärme[[#This Row],[EF Scope 1 Nicht-Kyoto-Gase (kg Nicht-Kyoto-Gase/Einheit)]],"")</f>
        <v/>
      </c>
      <c r="AW34" s="15" t="str">
        <f>IFERROR(Wärme[[#This Row],[Wert 
(Zahl)]]*Wärme[[#This Row],[EF Scope 2 CO2
(kg CO2/Einheit)]],"")</f>
        <v/>
      </c>
      <c r="AX34" s="15" t="str">
        <f>IFERROR(Wärme[[#This Row],[Wert 
(Zahl)]]*Wärme[[#This Row],[EF Scope 2 CH4
(kg CH4/Einheit)]],"")</f>
        <v/>
      </c>
      <c r="AY34" s="15" t="str">
        <f>IFERROR(Wärme[[#This Row],[Wert 
(Zahl)]]*Wärme[[#This Row],[EF Scope 2 N2O
(kg N2O/Einheit)]],"")</f>
        <v/>
      </c>
      <c r="AZ34" s="15" t="str">
        <f>IFERROR(Wärme[[#This Row],[Wert 
(Zahl)]]*Wärme[[#This Row],[EF Scope 2 HFCs
(kg HFCs/Einheit)]],"")</f>
        <v/>
      </c>
      <c r="BA34" s="15" t="str">
        <f>IFERROR(Wärme[[#This Row],[Wert 
(Zahl)]]*Wärme[[#This Row],[EF Scope 2 PFCs
(kg PFCs/Einheit)]],"")</f>
        <v/>
      </c>
      <c r="BB34" s="15" t="str">
        <f>IFERROR(Wärme[[#This Row],[Wert 
(Zahl)]]*Wärme[[#This Row],[EF Scope 2 SF6
(kg SF6/Einheit)]],"")</f>
        <v/>
      </c>
      <c r="BC34" s="15" t="str">
        <f>IFERROR(Wärme[[#This Row],[Wert 
(Zahl)]]*Wärme[[#This Row],[EF Scope 2 NF3
(kg NF3/Einheit)]],"")</f>
        <v/>
      </c>
      <c r="BD34" s="15" t="str">
        <f>IFERROR(Wärme[[#This Row],[Wert 
(Zahl)]]*Wärme[[#This Row],[EF Scope 2 Nicht-Kyoto-Gase (kg Nicht-Kyoto-Gase/Einheit)]],"")</f>
        <v/>
      </c>
      <c r="BE34" s="15" t="str">
        <f>IF(ISBLANK(Wärme[[#This Row],[Wert 
(Zahl)]]),"",IFERROR(Wärme[[#This Row],[Scope 1 CO2 '[kg CO2']]]*IFERROR(VLOOKUP("CO2",GWP_100[],3,FALSE),0),0))</f>
        <v/>
      </c>
      <c r="BF34" s="15" t="str">
        <f>IF(ISBLANK(Wärme[[#This Row],[Wert 
(Zahl)]]),"",IFERROR(Wärme[[#This Row],[Scope 1 CH4 '[kg CH4']]]*IFERROR(VLOOKUP("CH4",GWP_100[],4,FALSE),0),0))</f>
        <v/>
      </c>
      <c r="BG34" s="15" t="str">
        <f>IF(ISBLANK(Wärme[[#This Row],[Wert 
(Zahl)]]),"",IFERROR(Wärme[[#This Row],[Scope 1 N2O '[kg N2O']]]*IFERROR(VLOOKUP("N2O",GWP_100[],5,FALSE),0),0))</f>
        <v/>
      </c>
      <c r="BH34" s="15" t="str">
        <f>IF(ISBLANK(Wärme[[#This Row],[Wert 
(Zahl)]]),"",IFERROR(Wärme[[#This Row],[Scope 1 HFCs '[kg HFCs']]]*IFERROR(VLOOKUP(Wärme[[#This Row],[Emissionsquelle/Aktivität (Dropdown)]],GWP_100[],6,FALSE),0),0))</f>
        <v/>
      </c>
      <c r="BI34" s="15" t="str">
        <f>IF(ISBLANK(Wärme[[#This Row],[Wert 
(Zahl)]]),"",IFERROR(Wärme[[#This Row],[Scope 1 PFCs '[kg PFCs']]]*IFERROR(VLOOKUP(Wärme[[#This Row],[Emissionsquelle/Aktivität (Dropdown)]],GWP_100[],7,FALSE),0),0))</f>
        <v/>
      </c>
      <c r="BJ34" s="15" t="str">
        <f>IF(ISBLANK(Wärme[[#This Row],[Wert 
(Zahl)]]),"",IFERROR(Wärme[[#This Row],[Scope 1 SF6 '[kg SF6']]]*IFERROR(VLOOKUP("SF6",GWP_100[],8,FALSE),0),0))</f>
        <v/>
      </c>
      <c r="BK34" s="15" t="str">
        <f>IF(ISBLANK(Wärme[[#This Row],[Wert 
(Zahl)]]),"",IFERROR(Wärme[[#This Row],[Scope 1 NF3 '[kg NF3']]]*IFERROR(VLOOKUP("NF3",GWP_100[],9,FALSE),0),0))</f>
        <v/>
      </c>
      <c r="BL34" s="15" t="str">
        <f>IF(ISBLANK(Wärme[[#This Row],[Wert 
(Zahl)]]),"",IFERROR(Wärme[[#This Row],[Scope 1 non-Kyoto '[kg non-Kyoto gas']]]*IFERROR(VLOOKUP(Wärme[[#This Row],[Emissionsquelle/Aktivität (Dropdown)]],GWP_100[],10,FALSE),0),0))</f>
        <v/>
      </c>
      <c r="BM34" s="15" t="str">
        <f>IF(ISBLANK(Wärme[[#This Row],[Wert 
(Zahl)]]),"",IFERROR(Wärme[[#This Row],[Scope 2 CO2 '[kg CO2']]]*IFERROR(VLOOKUP("CO2",GWP_100[],3,FALSE),0),0))</f>
        <v/>
      </c>
      <c r="BN34" s="15" t="str">
        <f>IF(ISBLANK(Wärme[[#This Row],[Wert 
(Zahl)]]),"",IFERROR(Wärme[[#This Row],[Scope 2 CH4 '[kg CH4']]]*IFERROR(VLOOKUP("CH4",GWP_100[],4,FALSE),0),0))</f>
        <v/>
      </c>
      <c r="BO34" s="15" t="str">
        <f>IF(ISBLANK(Wärme[[#This Row],[Wert 
(Zahl)]]),"",IFERROR(Wärme[[#This Row],[Scope 2 N2O '[kg N2O']]]*IFERROR(VLOOKUP("N2O",GWP_100[],5,FALSE),0),0))</f>
        <v/>
      </c>
      <c r="BP34" s="15" t="str">
        <f>IF(ISBLANK(Wärme[[#This Row],[Wert 
(Zahl)]]),"",IFERROR(Wärme[[#This Row],[Scope 2 HFCs '[kg HFCs']]]*IFERROR(VLOOKUP(Wärme[[#This Row],[Emissionsquelle/Aktivität (Dropdown)]],GWP_100[],6,FALSE),0),0))</f>
        <v/>
      </c>
      <c r="BQ34" s="15" t="str">
        <f>IF(ISBLANK(Wärme[[#This Row],[Wert 
(Zahl)]]),"",IFERROR(Wärme[[#This Row],[Scope 2 PFCs '[kg PFCs']]]*IFERROR(VLOOKUP(Wärme[[#This Row],[Emissionsquelle/Aktivität (Dropdown)]],GWP_100[],7,FALSE),0),0))</f>
        <v/>
      </c>
      <c r="BR34" s="15" t="str">
        <f>IF(ISBLANK(Wärme[[#This Row],[Wert 
(Zahl)]]),"",IFERROR(Wärme[[#This Row],[Scope 2 SF6 '[kg SF6']]]*IFERROR(VLOOKUP("SF6",GWP_100[],8,FALSE),0),0))</f>
        <v/>
      </c>
      <c r="BS34" s="15" t="str">
        <f>IF(ISBLANK(Wärme[[#This Row],[Wert 
(Zahl)]]),"",IFERROR(Wärme[[#This Row],[Scope 2 NF3 '[kg NF3']]]*IFERROR(VLOOKUP("NF3",GWP_100[],9,FALSE),0),0))</f>
        <v/>
      </c>
      <c r="BT34" s="15" t="str">
        <f>IF(ISBLANK(Wärme[[#This Row],[Wert 
(Zahl)]]),"",IFERROR(Wärme[[#This Row],[Scope 2 non-Kyoto '[kg non-Kyoto gas']]]*IFERROR(VLOOKUP(Wärme[[#This Row],[Emissionsquelle/Aktivität (Dropdown)]],GWP_100[],10,FALSE),0),0))</f>
        <v/>
      </c>
    </row>
    <row r="35" spans="2:72" s="89" customFormat="1" x14ac:dyDescent="0.35">
      <c r="B35" s="604"/>
      <c r="C35" s="10" t="str">
        <f t="shared" si="0"/>
        <v>Wärme</v>
      </c>
      <c r="D35" s="90"/>
      <c r="E35" s="90"/>
      <c r="F35" s="288"/>
      <c r="G35" s="10" t="str">
        <f>IFERROR(VLOOKUP(Wärme[[#This Row],[Thema_Bezeichung]],EFs_Wärme[],4,FALSE),"")</f>
        <v/>
      </c>
      <c r="H35" s="90"/>
      <c r="I35" s="90"/>
      <c r="J35" s="90"/>
      <c r="K35" s="90"/>
      <c r="L35" s="284" t="str">
        <f>IF(ISBLANK(Wärme[[#This Row],[Wert 
(Zahl)]]),"", SUM(Wärme[[#This Row],[Scope 1 CO2e '[kg CO2e']]:[Scope 3 CO2e '[kg CO2e']]]))</f>
        <v/>
      </c>
      <c r="M35" s="158"/>
      <c r="N35" s="158"/>
      <c r="O35" s="15" t="str">
        <f>IF(ISBLANK(Wärme[[#This Row],[Emissionsquelle/Aktivität (Dropdown)]]),"",CONCATENATE(Wärme[[#This Row],[Sektor_Thema]]," - ",Wärme[[#This Row],[Emissionsquelle/Aktivität (Dropdown)]]))</f>
        <v/>
      </c>
      <c r="P35" s="15" t="str">
        <f>IF(ISBLANK(Wärme[[#This Row],[Emissionsquelle/Aktivität (Dropdown)]]),"",AND(Wärme[[#This Row],[Emissionsquelle/Aktivität (Dropdown)]]="Fernwärme (Wert Energieversorger)",ISNUMBER(Wärme[[#This Row],[Fernwärme Eigenfaktor Scope 2
'[g CO2e/kWh']
(falls zutreffend)]])))</f>
        <v/>
      </c>
      <c r="Q35" s="15" t="str">
        <f>IFERROR(VLOOKUP(Wärme[[#This Row],[Thema_Bezeichung]],EFs_Wärme[],5,FALSE),"")</f>
        <v/>
      </c>
      <c r="R35" s="15" t="str">
        <f>IFERROR(VLOOKUP(Wärme[[#This Row],[Thema_Bezeichung]],EFs_Wärme[],6,FALSE),"")</f>
        <v/>
      </c>
      <c r="S35" s="15" t="str">
        <f>IFERROR(VLOOKUP(Wärme[[#This Row],[Thema_Bezeichung]],EFs_Wärme[],7,FALSE),"")</f>
        <v/>
      </c>
      <c r="T35" s="15" t="str">
        <f>IFERROR(VLOOKUP(Wärme[[#This Row],[Thema_Bezeichung]],EFs_Wärme[],8,FALSE),"")</f>
        <v/>
      </c>
      <c r="U35" s="15" t="str">
        <f>IFERROR(VLOOKUP(Wärme[[#This Row],[Thema_Bezeichung]],EFs_Wärme[],9,FALSE),"")</f>
        <v/>
      </c>
      <c r="V35" s="15" t="str">
        <f>IFERROR(VLOOKUP(Wärme[[#This Row],[Thema_Bezeichung]],EFs_Wärme[],10,FALSE),"")</f>
        <v/>
      </c>
      <c r="W35" s="15" t="str">
        <f>IFERROR(VLOOKUP(Wärme[[#This Row],[Thema_Bezeichung]],EFs_Wärme[],11,FALSE),"")</f>
        <v/>
      </c>
      <c r="X35" s="15" t="str">
        <f>IFERROR(VLOOKUP(Wärme[[#This Row],[Thema_Bezeichung]],EFs_Wärme[],12,FALSE),"")</f>
        <v/>
      </c>
      <c r="Y35" s="15" t="str">
        <f>IFERROR(VLOOKUP(Wärme[[#This Row],[Thema_Bezeichung]],EFs_Wärme[],13,FALSE),"")</f>
        <v/>
      </c>
      <c r="Z35" s="15" t="str">
        <f>IFERROR(VLOOKUP(Wärme[[#This Row],[Thema_Bezeichung]],EFs_Wärme[],14,FALSE),"")</f>
        <v/>
      </c>
      <c r="AA35" s="15" t="str">
        <f>IF(Wärme[[#This Row],[Fernwärme - Eigenfaktor angegeben?]]=TRUE,Wärme[[#This Row],[Fernwärme Eigenfaktor Scope 2
'[g CO2e/kWh']
(falls zutreffend)]]/1000,IFERROR(VLOOKUP(Wärme[[#This Row],[Thema_Bezeichung]],EFs_Wärme[],15,FALSE),""))</f>
        <v/>
      </c>
      <c r="AB35" s="15" t="str">
        <f>IFERROR(VLOOKUP(Wärme[[#This Row],[Thema_Bezeichung]],EFs_Wärme[],16,FALSE),"")</f>
        <v/>
      </c>
      <c r="AC35" s="15" t="str">
        <f>IFERROR(VLOOKUP(Wärme[[#This Row],[Thema_Bezeichung]],EFs_Wärme[],17,FALSE),"")</f>
        <v/>
      </c>
      <c r="AD35" s="15" t="str">
        <f>IFERROR(VLOOKUP(Wärme[[#This Row],[Thema_Bezeichung]],EFs_Wärme[],18,FALSE),"")</f>
        <v/>
      </c>
      <c r="AE35" s="15" t="str">
        <f>IFERROR(VLOOKUP(Wärme[[#This Row],[Thema_Bezeichung]],EFs_Wärme[],19,FALSE),"")</f>
        <v/>
      </c>
      <c r="AF35" s="15" t="str">
        <f>IFERROR(VLOOKUP(Wärme[[#This Row],[Thema_Bezeichung]],EFs_Wärme[],20,FALSE),"")</f>
        <v/>
      </c>
      <c r="AG35" s="15" t="str">
        <f>IFERROR(VLOOKUP(Wärme[[#This Row],[Thema_Bezeichung]],EFs_Wärme[],21,FALSE),"")</f>
        <v/>
      </c>
      <c r="AH35" s="15" t="str">
        <f>IFERROR(VLOOKUP(Wärme[[#This Row],[Thema_Bezeichung]],EFs_Wärme[],22,FALSE),"")</f>
        <v/>
      </c>
      <c r="AI35" s="15" t="str">
        <f>IFERROR(VLOOKUP(Wärme[[#This Row],[Thema_Bezeichung]],EFs_Wärme[],23,FALSE),"")</f>
        <v/>
      </c>
      <c r="AJ35" s="15" t="str">
        <f>IFERROR(VLOOKUP(Wärme[[#This Row],[Thema_Bezeichung]],EFs_Wärme[],24,FALSE),"")</f>
        <v/>
      </c>
      <c r="AK35" s="15" t="str">
        <f>IFERROR(Wärme[[#This Row],[Wert 
(Zahl)]]*Wärme[[#This Row],[EF Scope 1 CO2e
(kg CO2e/Einheit)]],"")</f>
        <v/>
      </c>
      <c r="AL35" s="15" t="str">
        <f>IFERROR(Wärme[[#This Row],[Wert 
(Zahl)]]*Wärme[[#This Row],[EF Scope 2 CO2e
(kg CO2e/Einheit)]],"")</f>
        <v/>
      </c>
      <c r="AM35" s="15" t="str">
        <f>IFERROR(Wärme[[#This Row],[Wert 
(Zahl)]]*Wärme[[#This Row],[EF Scope 3 CO2e
(kg CO2e/Einheit)]],"")</f>
        <v/>
      </c>
      <c r="AN35" s="15" t="str">
        <f>IFERROR(Wärme[[#This Row],[Wert 
(Zahl)]]*Wärme[[#This Row],[EF Scope 1 CO2 biogen
(kg CO2 /Einheit)]],"")</f>
        <v/>
      </c>
      <c r="AO35" s="15" t="str">
        <f>IFERROR(Wärme[[#This Row],[Wert 
(Zahl)]]*Wärme[[#This Row],[EF Scope 1 CO2
(kg CO2/Einheit)]],"")</f>
        <v/>
      </c>
      <c r="AP35" s="15" t="str">
        <f>IFERROR(Wärme[[#This Row],[Wert 
(Zahl)]]*Wärme[[#This Row],[EF Scope 1 CH4
(kg CH4/Einheit)]],"")</f>
        <v/>
      </c>
      <c r="AQ35" s="15" t="str">
        <f>IFERROR(Wärme[[#This Row],[Wert 
(Zahl)]]*Wärme[[#This Row],[EF Scope 1 N2O
(kg N2O/Einheit)]],"")</f>
        <v/>
      </c>
      <c r="AR35" s="15" t="str">
        <f>IFERROR(Wärme[[#This Row],[Wert 
(Zahl)]]*Wärme[[#This Row],[EF Scope 1 HFCs
(kg HFCs/Einheit)]],"")</f>
        <v/>
      </c>
      <c r="AS35" s="15" t="str">
        <f>IFERROR(Wärme[[#This Row],[Wert 
(Zahl)]]*Wärme[[#This Row],[EF Scope 1 PFCs
(kg PFCs/Einheit)]],"")</f>
        <v/>
      </c>
      <c r="AT35" s="15" t="str">
        <f>IFERROR(Wärme[[#This Row],[Wert 
(Zahl)]]*Wärme[[#This Row],[EF Scope 1 SF6
(kg SF6/Einheit)]],"")</f>
        <v/>
      </c>
      <c r="AU35" s="15" t="str">
        <f>IFERROR(Wärme[[#This Row],[Wert 
(Zahl)]]*Wärme[[#This Row],[EF Scope 1 NF3
(kg NF3/Einheit)]],"")</f>
        <v/>
      </c>
      <c r="AV35" s="15" t="str">
        <f>IFERROR(Wärme[[#This Row],[Wert 
(Zahl)]]*Wärme[[#This Row],[EF Scope 1 Nicht-Kyoto-Gase (kg Nicht-Kyoto-Gase/Einheit)]],"")</f>
        <v/>
      </c>
      <c r="AW35" s="15" t="str">
        <f>IFERROR(Wärme[[#This Row],[Wert 
(Zahl)]]*Wärme[[#This Row],[EF Scope 2 CO2
(kg CO2/Einheit)]],"")</f>
        <v/>
      </c>
      <c r="AX35" s="15" t="str">
        <f>IFERROR(Wärme[[#This Row],[Wert 
(Zahl)]]*Wärme[[#This Row],[EF Scope 2 CH4
(kg CH4/Einheit)]],"")</f>
        <v/>
      </c>
      <c r="AY35" s="15" t="str">
        <f>IFERROR(Wärme[[#This Row],[Wert 
(Zahl)]]*Wärme[[#This Row],[EF Scope 2 N2O
(kg N2O/Einheit)]],"")</f>
        <v/>
      </c>
      <c r="AZ35" s="15" t="str">
        <f>IFERROR(Wärme[[#This Row],[Wert 
(Zahl)]]*Wärme[[#This Row],[EF Scope 2 HFCs
(kg HFCs/Einheit)]],"")</f>
        <v/>
      </c>
      <c r="BA35" s="15" t="str">
        <f>IFERROR(Wärme[[#This Row],[Wert 
(Zahl)]]*Wärme[[#This Row],[EF Scope 2 PFCs
(kg PFCs/Einheit)]],"")</f>
        <v/>
      </c>
      <c r="BB35" s="15" t="str">
        <f>IFERROR(Wärme[[#This Row],[Wert 
(Zahl)]]*Wärme[[#This Row],[EF Scope 2 SF6
(kg SF6/Einheit)]],"")</f>
        <v/>
      </c>
      <c r="BC35" s="15" t="str">
        <f>IFERROR(Wärme[[#This Row],[Wert 
(Zahl)]]*Wärme[[#This Row],[EF Scope 2 NF3
(kg NF3/Einheit)]],"")</f>
        <v/>
      </c>
      <c r="BD35" s="15" t="str">
        <f>IFERROR(Wärme[[#This Row],[Wert 
(Zahl)]]*Wärme[[#This Row],[EF Scope 2 Nicht-Kyoto-Gase (kg Nicht-Kyoto-Gase/Einheit)]],"")</f>
        <v/>
      </c>
      <c r="BE35" s="15" t="str">
        <f>IF(ISBLANK(Wärme[[#This Row],[Wert 
(Zahl)]]),"",IFERROR(Wärme[[#This Row],[Scope 1 CO2 '[kg CO2']]]*IFERROR(VLOOKUP("CO2",GWP_100[],3,FALSE),0),0))</f>
        <v/>
      </c>
      <c r="BF35" s="15" t="str">
        <f>IF(ISBLANK(Wärme[[#This Row],[Wert 
(Zahl)]]),"",IFERROR(Wärme[[#This Row],[Scope 1 CH4 '[kg CH4']]]*IFERROR(VLOOKUP("CH4",GWP_100[],4,FALSE),0),0))</f>
        <v/>
      </c>
      <c r="BG35" s="15" t="str">
        <f>IF(ISBLANK(Wärme[[#This Row],[Wert 
(Zahl)]]),"",IFERROR(Wärme[[#This Row],[Scope 1 N2O '[kg N2O']]]*IFERROR(VLOOKUP("N2O",GWP_100[],5,FALSE),0),0))</f>
        <v/>
      </c>
      <c r="BH35" s="15" t="str">
        <f>IF(ISBLANK(Wärme[[#This Row],[Wert 
(Zahl)]]),"",IFERROR(Wärme[[#This Row],[Scope 1 HFCs '[kg HFCs']]]*IFERROR(VLOOKUP(Wärme[[#This Row],[Emissionsquelle/Aktivität (Dropdown)]],GWP_100[],6,FALSE),0),0))</f>
        <v/>
      </c>
      <c r="BI35" s="15" t="str">
        <f>IF(ISBLANK(Wärme[[#This Row],[Wert 
(Zahl)]]),"",IFERROR(Wärme[[#This Row],[Scope 1 PFCs '[kg PFCs']]]*IFERROR(VLOOKUP(Wärme[[#This Row],[Emissionsquelle/Aktivität (Dropdown)]],GWP_100[],7,FALSE),0),0))</f>
        <v/>
      </c>
      <c r="BJ35" s="15" t="str">
        <f>IF(ISBLANK(Wärme[[#This Row],[Wert 
(Zahl)]]),"",IFERROR(Wärme[[#This Row],[Scope 1 SF6 '[kg SF6']]]*IFERROR(VLOOKUP("SF6",GWP_100[],8,FALSE),0),0))</f>
        <v/>
      </c>
      <c r="BK35" s="15" t="str">
        <f>IF(ISBLANK(Wärme[[#This Row],[Wert 
(Zahl)]]),"",IFERROR(Wärme[[#This Row],[Scope 1 NF3 '[kg NF3']]]*IFERROR(VLOOKUP("NF3",GWP_100[],9,FALSE),0),0))</f>
        <v/>
      </c>
      <c r="BL35" s="15" t="str">
        <f>IF(ISBLANK(Wärme[[#This Row],[Wert 
(Zahl)]]),"",IFERROR(Wärme[[#This Row],[Scope 1 non-Kyoto '[kg non-Kyoto gas']]]*IFERROR(VLOOKUP(Wärme[[#This Row],[Emissionsquelle/Aktivität (Dropdown)]],GWP_100[],10,FALSE),0),0))</f>
        <v/>
      </c>
      <c r="BM35" s="15" t="str">
        <f>IF(ISBLANK(Wärme[[#This Row],[Wert 
(Zahl)]]),"",IFERROR(Wärme[[#This Row],[Scope 2 CO2 '[kg CO2']]]*IFERROR(VLOOKUP("CO2",GWP_100[],3,FALSE),0),0))</f>
        <v/>
      </c>
      <c r="BN35" s="15" t="str">
        <f>IF(ISBLANK(Wärme[[#This Row],[Wert 
(Zahl)]]),"",IFERROR(Wärme[[#This Row],[Scope 2 CH4 '[kg CH4']]]*IFERROR(VLOOKUP("CH4",GWP_100[],4,FALSE),0),0))</f>
        <v/>
      </c>
      <c r="BO35" s="15" t="str">
        <f>IF(ISBLANK(Wärme[[#This Row],[Wert 
(Zahl)]]),"",IFERROR(Wärme[[#This Row],[Scope 2 N2O '[kg N2O']]]*IFERROR(VLOOKUP("N2O",GWP_100[],5,FALSE),0),0))</f>
        <v/>
      </c>
      <c r="BP35" s="15" t="str">
        <f>IF(ISBLANK(Wärme[[#This Row],[Wert 
(Zahl)]]),"",IFERROR(Wärme[[#This Row],[Scope 2 HFCs '[kg HFCs']]]*IFERROR(VLOOKUP(Wärme[[#This Row],[Emissionsquelle/Aktivität (Dropdown)]],GWP_100[],6,FALSE),0),0))</f>
        <v/>
      </c>
      <c r="BQ35" s="15" t="str">
        <f>IF(ISBLANK(Wärme[[#This Row],[Wert 
(Zahl)]]),"",IFERROR(Wärme[[#This Row],[Scope 2 PFCs '[kg PFCs']]]*IFERROR(VLOOKUP(Wärme[[#This Row],[Emissionsquelle/Aktivität (Dropdown)]],GWP_100[],7,FALSE),0),0))</f>
        <v/>
      </c>
      <c r="BR35" s="15" t="str">
        <f>IF(ISBLANK(Wärme[[#This Row],[Wert 
(Zahl)]]),"",IFERROR(Wärme[[#This Row],[Scope 2 SF6 '[kg SF6']]]*IFERROR(VLOOKUP("SF6",GWP_100[],8,FALSE),0),0))</f>
        <v/>
      </c>
      <c r="BS35" s="15" t="str">
        <f>IF(ISBLANK(Wärme[[#This Row],[Wert 
(Zahl)]]),"",IFERROR(Wärme[[#This Row],[Scope 2 NF3 '[kg NF3']]]*IFERROR(VLOOKUP("NF3",GWP_100[],9,FALSE),0),0))</f>
        <v/>
      </c>
      <c r="BT35" s="15" t="str">
        <f>IF(ISBLANK(Wärme[[#This Row],[Wert 
(Zahl)]]),"",IFERROR(Wärme[[#This Row],[Scope 2 non-Kyoto '[kg non-Kyoto gas']]]*IFERROR(VLOOKUP(Wärme[[#This Row],[Emissionsquelle/Aktivität (Dropdown)]],GWP_100[],10,FALSE),0),0))</f>
        <v/>
      </c>
    </row>
    <row r="36" spans="2:72" s="89" customFormat="1" x14ac:dyDescent="0.35">
      <c r="B36" s="604"/>
      <c r="C36" s="10" t="str">
        <f t="shared" si="0"/>
        <v>Wärme</v>
      </c>
      <c r="D36" s="90"/>
      <c r="E36" s="90"/>
      <c r="F36" s="288"/>
      <c r="G36" s="10" t="str">
        <f>IFERROR(VLOOKUP(Wärme[[#This Row],[Thema_Bezeichung]],EFs_Wärme[],4,FALSE),"")</f>
        <v/>
      </c>
      <c r="H36" s="90"/>
      <c r="I36" s="90"/>
      <c r="J36" s="90"/>
      <c r="K36" s="90"/>
      <c r="L36" s="284" t="str">
        <f>IF(ISBLANK(Wärme[[#This Row],[Wert 
(Zahl)]]),"", SUM(Wärme[[#This Row],[Scope 1 CO2e '[kg CO2e']]:[Scope 3 CO2e '[kg CO2e']]]))</f>
        <v/>
      </c>
      <c r="M36" s="158"/>
      <c r="N36" s="158"/>
      <c r="O36" s="15" t="str">
        <f>IF(ISBLANK(Wärme[[#This Row],[Emissionsquelle/Aktivität (Dropdown)]]),"",CONCATENATE(Wärme[[#This Row],[Sektor_Thema]]," - ",Wärme[[#This Row],[Emissionsquelle/Aktivität (Dropdown)]]))</f>
        <v/>
      </c>
      <c r="P36" s="15" t="str">
        <f>IF(ISBLANK(Wärme[[#This Row],[Emissionsquelle/Aktivität (Dropdown)]]),"",AND(Wärme[[#This Row],[Emissionsquelle/Aktivität (Dropdown)]]="Fernwärme (Wert Energieversorger)",ISNUMBER(Wärme[[#This Row],[Fernwärme Eigenfaktor Scope 2
'[g CO2e/kWh']
(falls zutreffend)]])))</f>
        <v/>
      </c>
      <c r="Q36" s="15" t="str">
        <f>IFERROR(VLOOKUP(Wärme[[#This Row],[Thema_Bezeichung]],EFs_Wärme[],5,FALSE),"")</f>
        <v/>
      </c>
      <c r="R36" s="15" t="str">
        <f>IFERROR(VLOOKUP(Wärme[[#This Row],[Thema_Bezeichung]],EFs_Wärme[],6,FALSE),"")</f>
        <v/>
      </c>
      <c r="S36" s="15" t="str">
        <f>IFERROR(VLOOKUP(Wärme[[#This Row],[Thema_Bezeichung]],EFs_Wärme[],7,FALSE),"")</f>
        <v/>
      </c>
      <c r="T36" s="15" t="str">
        <f>IFERROR(VLOOKUP(Wärme[[#This Row],[Thema_Bezeichung]],EFs_Wärme[],8,FALSE),"")</f>
        <v/>
      </c>
      <c r="U36" s="15" t="str">
        <f>IFERROR(VLOOKUP(Wärme[[#This Row],[Thema_Bezeichung]],EFs_Wärme[],9,FALSE),"")</f>
        <v/>
      </c>
      <c r="V36" s="15" t="str">
        <f>IFERROR(VLOOKUP(Wärme[[#This Row],[Thema_Bezeichung]],EFs_Wärme[],10,FALSE),"")</f>
        <v/>
      </c>
      <c r="W36" s="15" t="str">
        <f>IFERROR(VLOOKUP(Wärme[[#This Row],[Thema_Bezeichung]],EFs_Wärme[],11,FALSE),"")</f>
        <v/>
      </c>
      <c r="X36" s="15" t="str">
        <f>IFERROR(VLOOKUP(Wärme[[#This Row],[Thema_Bezeichung]],EFs_Wärme[],12,FALSE),"")</f>
        <v/>
      </c>
      <c r="Y36" s="15" t="str">
        <f>IFERROR(VLOOKUP(Wärme[[#This Row],[Thema_Bezeichung]],EFs_Wärme[],13,FALSE),"")</f>
        <v/>
      </c>
      <c r="Z36" s="15" t="str">
        <f>IFERROR(VLOOKUP(Wärme[[#This Row],[Thema_Bezeichung]],EFs_Wärme[],14,FALSE),"")</f>
        <v/>
      </c>
      <c r="AA36" s="15" t="str">
        <f>IF(Wärme[[#This Row],[Fernwärme - Eigenfaktor angegeben?]]=TRUE,Wärme[[#This Row],[Fernwärme Eigenfaktor Scope 2
'[g CO2e/kWh']
(falls zutreffend)]]/1000,IFERROR(VLOOKUP(Wärme[[#This Row],[Thema_Bezeichung]],EFs_Wärme[],15,FALSE),""))</f>
        <v/>
      </c>
      <c r="AB36" s="15" t="str">
        <f>IFERROR(VLOOKUP(Wärme[[#This Row],[Thema_Bezeichung]],EFs_Wärme[],16,FALSE),"")</f>
        <v/>
      </c>
      <c r="AC36" s="15" t="str">
        <f>IFERROR(VLOOKUP(Wärme[[#This Row],[Thema_Bezeichung]],EFs_Wärme[],17,FALSE),"")</f>
        <v/>
      </c>
      <c r="AD36" s="15" t="str">
        <f>IFERROR(VLOOKUP(Wärme[[#This Row],[Thema_Bezeichung]],EFs_Wärme[],18,FALSE),"")</f>
        <v/>
      </c>
      <c r="AE36" s="15" t="str">
        <f>IFERROR(VLOOKUP(Wärme[[#This Row],[Thema_Bezeichung]],EFs_Wärme[],19,FALSE),"")</f>
        <v/>
      </c>
      <c r="AF36" s="15" t="str">
        <f>IFERROR(VLOOKUP(Wärme[[#This Row],[Thema_Bezeichung]],EFs_Wärme[],20,FALSE),"")</f>
        <v/>
      </c>
      <c r="AG36" s="15" t="str">
        <f>IFERROR(VLOOKUP(Wärme[[#This Row],[Thema_Bezeichung]],EFs_Wärme[],21,FALSE),"")</f>
        <v/>
      </c>
      <c r="AH36" s="15" t="str">
        <f>IFERROR(VLOOKUP(Wärme[[#This Row],[Thema_Bezeichung]],EFs_Wärme[],22,FALSE),"")</f>
        <v/>
      </c>
      <c r="AI36" s="15" t="str">
        <f>IFERROR(VLOOKUP(Wärme[[#This Row],[Thema_Bezeichung]],EFs_Wärme[],23,FALSE),"")</f>
        <v/>
      </c>
      <c r="AJ36" s="15" t="str">
        <f>IFERROR(VLOOKUP(Wärme[[#This Row],[Thema_Bezeichung]],EFs_Wärme[],24,FALSE),"")</f>
        <v/>
      </c>
      <c r="AK36" s="15" t="str">
        <f>IFERROR(Wärme[[#This Row],[Wert 
(Zahl)]]*Wärme[[#This Row],[EF Scope 1 CO2e
(kg CO2e/Einheit)]],"")</f>
        <v/>
      </c>
      <c r="AL36" s="15" t="str">
        <f>IFERROR(Wärme[[#This Row],[Wert 
(Zahl)]]*Wärme[[#This Row],[EF Scope 2 CO2e
(kg CO2e/Einheit)]],"")</f>
        <v/>
      </c>
      <c r="AM36" s="15" t="str">
        <f>IFERROR(Wärme[[#This Row],[Wert 
(Zahl)]]*Wärme[[#This Row],[EF Scope 3 CO2e
(kg CO2e/Einheit)]],"")</f>
        <v/>
      </c>
      <c r="AN36" s="15" t="str">
        <f>IFERROR(Wärme[[#This Row],[Wert 
(Zahl)]]*Wärme[[#This Row],[EF Scope 1 CO2 biogen
(kg CO2 /Einheit)]],"")</f>
        <v/>
      </c>
      <c r="AO36" s="15" t="str">
        <f>IFERROR(Wärme[[#This Row],[Wert 
(Zahl)]]*Wärme[[#This Row],[EF Scope 1 CO2
(kg CO2/Einheit)]],"")</f>
        <v/>
      </c>
      <c r="AP36" s="15" t="str">
        <f>IFERROR(Wärme[[#This Row],[Wert 
(Zahl)]]*Wärme[[#This Row],[EF Scope 1 CH4
(kg CH4/Einheit)]],"")</f>
        <v/>
      </c>
      <c r="AQ36" s="15" t="str">
        <f>IFERROR(Wärme[[#This Row],[Wert 
(Zahl)]]*Wärme[[#This Row],[EF Scope 1 N2O
(kg N2O/Einheit)]],"")</f>
        <v/>
      </c>
      <c r="AR36" s="15" t="str">
        <f>IFERROR(Wärme[[#This Row],[Wert 
(Zahl)]]*Wärme[[#This Row],[EF Scope 1 HFCs
(kg HFCs/Einheit)]],"")</f>
        <v/>
      </c>
      <c r="AS36" s="15" t="str">
        <f>IFERROR(Wärme[[#This Row],[Wert 
(Zahl)]]*Wärme[[#This Row],[EF Scope 1 PFCs
(kg PFCs/Einheit)]],"")</f>
        <v/>
      </c>
      <c r="AT36" s="15" t="str">
        <f>IFERROR(Wärme[[#This Row],[Wert 
(Zahl)]]*Wärme[[#This Row],[EF Scope 1 SF6
(kg SF6/Einheit)]],"")</f>
        <v/>
      </c>
      <c r="AU36" s="15" t="str">
        <f>IFERROR(Wärme[[#This Row],[Wert 
(Zahl)]]*Wärme[[#This Row],[EF Scope 1 NF3
(kg NF3/Einheit)]],"")</f>
        <v/>
      </c>
      <c r="AV36" s="15" t="str">
        <f>IFERROR(Wärme[[#This Row],[Wert 
(Zahl)]]*Wärme[[#This Row],[EF Scope 1 Nicht-Kyoto-Gase (kg Nicht-Kyoto-Gase/Einheit)]],"")</f>
        <v/>
      </c>
      <c r="AW36" s="15" t="str">
        <f>IFERROR(Wärme[[#This Row],[Wert 
(Zahl)]]*Wärme[[#This Row],[EF Scope 2 CO2
(kg CO2/Einheit)]],"")</f>
        <v/>
      </c>
      <c r="AX36" s="15" t="str">
        <f>IFERROR(Wärme[[#This Row],[Wert 
(Zahl)]]*Wärme[[#This Row],[EF Scope 2 CH4
(kg CH4/Einheit)]],"")</f>
        <v/>
      </c>
      <c r="AY36" s="15" t="str">
        <f>IFERROR(Wärme[[#This Row],[Wert 
(Zahl)]]*Wärme[[#This Row],[EF Scope 2 N2O
(kg N2O/Einheit)]],"")</f>
        <v/>
      </c>
      <c r="AZ36" s="15" t="str">
        <f>IFERROR(Wärme[[#This Row],[Wert 
(Zahl)]]*Wärme[[#This Row],[EF Scope 2 HFCs
(kg HFCs/Einheit)]],"")</f>
        <v/>
      </c>
      <c r="BA36" s="15" t="str">
        <f>IFERROR(Wärme[[#This Row],[Wert 
(Zahl)]]*Wärme[[#This Row],[EF Scope 2 PFCs
(kg PFCs/Einheit)]],"")</f>
        <v/>
      </c>
      <c r="BB36" s="15" t="str">
        <f>IFERROR(Wärme[[#This Row],[Wert 
(Zahl)]]*Wärme[[#This Row],[EF Scope 2 SF6
(kg SF6/Einheit)]],"")</f>
        <v/>
      </c>
      <c r="BC36" s="15" t="str">
        <f>IFERROR(Wärme[[#This Row],[Wert 
(Zahl)]]*Wärme[[#This Row],[EF Scope 2 NF3
(kg NF3/Einheit)]],"")</f>
        <v/>
      </c>
      <c r="BD36" s="15" t="str">
        <f>IFERROR(Wärme[[#This Row],[Wert 
(Zahl)]]*Wärme[[#This Row],[EF Scope 2 Nicht-Kyoto-Gase (kg Nicht-Kyoto-Gase/Einheit)]],"")</f>
        <v/>
      </c>
      <c r="BE36" s="15" t="str">
        <f>IF(ISBLANK(Wärme[[#This Row],[Wert 
(Zahl)]]),"",IFERROR(Wärme[[#This Row],[Scope 1 CO2 '[kg CO2']]]*IFERROR(VLOOKUP("CO2",GWP_100[],3,FALSE),0),0))</f>
        <v/>
      </c>
      <c r="BF36" s="15" t="str">
        <f>IF(ISBLANK(Wärme[[#This Row],[Wert 
(Zahl)]]),"",IFERROR(Wärme[[#This Row],[Scope 1 CH4 '[kg CH4']]]*IFERROR(VLOOKUP("CH4",GWP_100[],4,FALSE),0),0))</f>
        <v/>
      </c>
      <c r="BG36" s="15" t="str">
        <f>IF(ISBLANK(Wärme[[#This Row],[Wert 
(Zahl)]]),"",IFERROR(Wärme[[#This Row],[Scope 1 N2O '[kg N2O']]]*IFERROR(VLOOKUP("N2O",GWP_100[],5,FALSE),0),0))</f>
        <v/>
      </c>
      <c r="BH36" s="15" t="str">
        <f>IF(ISBLANK(Wärme[[#This Row],[Wert 
(Zahl)]]),"",IFERROR(Wärme[[#This Row],[Scope 1 HFCs '[kg HFCs']]]*IFERROR(VLOOKUP(Wärme[[#This Row],[Emissionsquelle/Aktivität (Dropdown)]],GWP_100[],6,FALSE),0),0))</f>
        <v/>
      </c>
      <c r="BI36" s="15" t="str">
        <f>IF(ISBLANK(Wärme[[#This Row],[Wert 
(Zahl)]]),"",IFERROR(Wärme[[#This Row],[Scope 1 PFCs '[kg PFCs']]]*IFERROR(VLOOKUP(Wärme[[#This Row],[Emissionsquelle/Aktivität (Dropdown)]],GWP_100[],7,FALSE),0),0))</f>
        <v/>
      </c>
      <c r="BJ36" s="15" t="str">
        <f>IF(ISBLANK(Wärme[[#This Row],[Wert 
(Zahl)]]),"",IFERROR(Wärme[[#This Row],[Scope 1 SF6 '[kg SF6']]]*IFERROR(VLOOKUP("SF6",GWP_100[],8,FALSE),0),0))</f>
        <v/>
      </c>
      <c r="BK36" s="15" t="str">
        <f>IF(ISBLANK(Wärme[[#This Row],[Wert 
(Zahl)]]),"",IFERROR(Wärme[[#This Row],[Scope 1 NF3 '[kg NF3']]]*IFERROR(VLOOKUP("NF3",GWP_100[],9,FALSE),0),0))</f>
        <v/>
      </c>
      <c r="BL36" s="15" t="str">
        <f>IF(ISBLANK(Wärme[[#This Row],[Wert 
(Zahl)]]),"",IFERROR(Wärme[[#This Row],[Scope 1 non-Kyoto '[kg non-Kyoto gas']]]*IFERROR(VLOOKUP(Wärme[[#This Row],[Emissionsquelle/Aktivität (Dropdown)]],GWP_100[],10,FALSE),0),0))</f>
        <v/>
      </c>
      <c r="BM36" s="15" t="str">
        <f>IF(ISBLANK(Wärme[[#This Row],[Wert 
(Zahl)]]),"",IFERROR(Wärme[[#This Row],[Scope 2 CO2 '[kg CO2']]]*IFERROR(VLOOKUP("CO2",GWP_100[],3,FALSE),0),0))</f>
        <v/>
      </c>
      <c r="BN36" s="15" t="str">
        <f>IF(ISBLANK(Wärme[[#This Row],[Wert 
(Zahl)]]),"",IFERROR(Wärme[[#This Row],[Scope 2 CH4 '[kg CH4']]]*IFERROR(VLOOKUP("CH4",GWP_100[],4,FALSE),0),0))</f>
        <v/>
      </c>
      <c r="BO36" s="15" t="str">
        <f>IF(ISBLANK(Wärme[[#This Row],[Wert 
(Zahl)]]),"",IFERROR(Wärme[[#This Row],[Scope 2 N2O '[kg N2O']]]*IFERROR(VLOOKUP("N2O",GWP_100[],5,FALSE),0),0))</f>
        <v/>
      </c>
      <c r="BP36" s="15" t="str">
        <f>IF(ISBLANK(Wärme[[#This Row],[Wert 
(Zahl)]]),"",IFERROR(Wärme[[#This Row],[Scope 2 HFCs '[kg HFCs']]]*IFERROR(VLOOKUP(Wärme[[#This Row],[Emissionsquelle/Aktivität (Dropdown)]],GWP_100[],6,FALSE),0),0))</f>
        <v/>
      </c>
      <c r="BQ36" s="15" t="str">
        <f>IF(ISBLANK(Wärme[[#This Row],[Wert 
(Zahl)]]),"",IFERROR(Wärme[[#This Row],[Scope 2 PFCs '[kg PFCs']]]*IFERROR(VLOOKUP(Wärme[[#This Row],[Emissionsquelle/Aktivität (Dropdown)]],GWP_100[],7,FALSE),0),0))</f>
        <v/>
      </c>
      <c r="BR36" s="15" t="str">
        <f>IF(ISBLANK(Wärme[[#This Row],[Wert 
(Zahl)]]),"",IFERROR(Wärme[[#This Row],[Scope 2 SF6 '[kg SF6']]]*IFERROR(VLOOKUP("SF6",GWP_100[],8,FALSE),0),0))</f>
        <v/>
      </c>
      <c r="BS36" s="15" t="str">
        <f>IF(ISBLANK(Wärme[[#This Row],[Wert 
(Zahl)]]),"",IFERROR(Wärme[[#This Row],[Scope 2 NF3 '[kg NF3']]]*IFERROR(VLOOKUP("NF3",GWP_100[],9,FALSE),0),0))</f>
        <v/>
      </c>
      <c r="BT36" s="15" t="str">
        <f>IF(ISBLANK(Wärme[[#This Row],[Wert 
(Zahl)]]),"",IFERROR(Wärme[[#This Row],[Scope 2 non-Kyoto '[kg non-Kyoto gas']]]*IFERROR(VLOOKUP(Wärme[[#This Row],[Emissionsquelle/Aktivität (Dropdown)]],GWP_100[],10,FALSE),0),0))</f>
        <v/>
      </c>
    </row>
    <row r="37" spans="2:72" s="89" customFormat="1" x14ac:dyDescent="0.35">
      <c r="B37" s="604"/>
      <c r="C37" s="10" t="str">
        <f t="shared" si="0"/>
        <v>Wärme</v>
      </c>
      <c r="D37" s="90"/>
      <c r="E37" s="90"/>
      <c r="F37" s="288"/>
      <c r="G37" s="10" t="str">
        <f>IFERROR(VLOOKUP(Wärme[[#This Row],[Thema_Bezeichung]],EFs_Wärme[],4,FALSE),"")</f>
        <v/>
      </c>
      <c r="H37" s="90"/>
      <c r="I37" s="90"/>
      <c r="J37" s="90"/>
      <c r="K37" s="90"/>
      <c r="L37" s="284" t="str">
        <f>IF(ISBLANK(Wärme[[#This Row],[Wert 
(Zahl)]]),"", SUM(Wärme[[#This Row],[Scope 1 CO2e '[kg CO2e']]:[Scope 3 CO2e '[kg CO2e']]]))</f>
        <v/>
      </c>
      <c r="M37" s="158"/>
      <c r="N37" s="158"/>
      <c r="O37" s="15" t="str">
        <f>IF(ISBLANK(Wärme[[#This Row],[Emissionsquelle/Aktivität (Dropdown)]]),"",CONCATENATE(Wärme[[#This Row],[Sektor_Thema]]," - ",Wärme[[#This Row],[Emissionsquelle/Aktivität (Dropdown)]]))</f>
        <v/>
      </c>
      <c r="P37" s="15" t="str">
        <f>IF(ISBLANK(Wärme[[#This Row],[Emissionsquelle/Aktivität (Dropdown)]]),"",AND(Wärme[[#This Row],[Emissionsquelle/Aktivität (Dropdown)]]="Fernwärme (Wert Energieversorger)",ISNUMBER(Wärme[[#This Row],[Fernwärme Eigenfaktor Scope 2
'[g CO2e/kWh']
(falls zutreffend)]])))</f>
        <v/>
      </c>
      <c r="Q37" s="15" t="str">
        <f>IFERROR(VLOOKUP(Wärme[[#This Row],[Thema_Bezeichung]],EFs_Wärme[],5,FALSE),"")</f>
        <v/>
      </c>
      <c r="R37" s="15" t="str">
        <f>IFERROR(VLOOKUP(Wärme[[#This Row],[Thema_Bezeichung]],EFs_Wärme[],6,FALSE),"")</f>
        <v/>
      </c>
      <c r="S37" s="15" t="str">
        <f>IFERROR(VLOOKUP(Wärme[[#This Row],[Thema_Bezeichung]],EFs_Wärme[],7,FALSE),"")</f>
        <v/>
      </c>
      <c r="T37" s="15" t="str">
        <f>IFERROR(VLOOKUP(Wärme[[#This Row],[Thema_Bezeichung]],EFs_Wärme[],8,FALSE),"")</f>
        <v/>
      </c>
      <c r="U37" s="15" t="str">
        <f>IFERROR(VLOOKUP(Wärme[[#This Row],[Thema_Bezeichung]],EFs_Wärme[],9,FALSE),"")</f>
        <v/>
      </c>
      <c r="V37" s="15" t="str">
        <f>IFERROR(VLOOKUP(Wärme[[#This Row],[Thema_Bezeichung]],EFs_Wärme[],10,FALSE),"")</f>
        <v/>
      </c>
      <c r="W37" s="15" t="str">
        <f>IFERROR(VLOOKUP(Wärme[[#This Row],[Thema_Bezeichung]],EFs_Wärme[],11,FALSE),"")</f>
        <v/>
      </c>
      <c r="X37" s="15" t="str">
        <f>IFERROR(VLOOKUP(Wärme[[#This Row],[Thema_Bezeichung]],EFs_Wärme[],12,FALSE),"")</f>
        <v/>
      </c>
      <c r="Y37" s="15" t="str">
        <f>IFERROR(VLOOKUP(Wärme[[#This Row],[Thema_Bezeichung]],EFs_Wärme[],13,FALSE),"")</f>
        <v/>
      </c>
      <c r="Z37" s="15" t="str">
        <f>IFERROR(VLOOKUP(Wärme[[#This Row],[Thema_Bezeichung]],EFs_Wärme[],14,FALSE),"")</f>
        <v/>
      </c>
      <c r="AA37" s="15" t="str">
        <f>IF(Wärme[[#This Row],[Fernwärme - Eigenfaktor angegeben?]]=TRUE,Wärme[[#This Row],[Fernwärme Eigenfaktor Scope 2
'[g CO2e/kWh']
(falls zutreffend)]]/1000,IFERROR(VLOOKUP(Wärme[[#This Row],[Thema_Bezeichung]],EFs_Wärme[],15,FALSE),""))</f>
        <v/>
      </c>
      <c r="AB37" s="15" t="str">
        <f>IFERROR(VLOOKUP(Wärme[[#This Row],[Thema_Bezeichung]],EFs_Wärme[],16,FALSE),"")</f>
        <v/>
      </c>
      <c r="AC37" s="15" t="str">
        <f>IFERROR(VLOOKUP(Wärme[[#This Row],[Thema_Bezeichung]],EFs_Wärme[],17,FALSE),"")</f>
        <v/>
      </c>
      <c r="AD37" s="15" t="str">
        <f>IFERROR(VLOOKUP(Wärme[[#This Row],[Thema_Bezeichung]],EFs_Wärme[],18,FALSE),"")</f>
        <v/>
      </c>
      <c r="AE37" s="15" t="str">
        <f>IFERROR(VLOOKUP(Wärme[[#This Row],[Thema_Bezeichung]],EFs_Wärme[],19,FALSE),"")</f>
        <v/>
      </c>
      <c r="AF37" s="15" t="str">
        <f>IFERROR(VLOOKUP(Wärme[[#This Row],[Thema_Bezeichung]],EFs_Wärme[],20,FALSE),"")</f>
        <v/>
      </c>
      <c r="AG37" s="15" t="str">
        <f>IFERROR(VLOOKUP(Wärme[[#This Row],[Thema_Bezeichung]],EFs_Wärme[],21,FALSE),"")</f>
        <v/>
      </c>
      <c r="AH37" s="15" t="str">
        <f>IFERROR(VLOOKUP(Wärme[[#This Row],[Thema_Bezeichung]],EFs_Wärme[],22,FALSE),"")</f>
        <v/>
      </c>
      <c r="AI37" s="15" t="str">
        <f>IFERROR(VLOOKUP(Wärme[[#This Row],[Thema_Bezeichung]],EFs_Wärme[],23,FALSE),"")</f>
        <v/>
      </c>
      <c r="AJ37" s="15" t="str">
        <f>IFERROR(VLOOKUP(Wärme[[#This Row],[Thema_Bezeichung]],EFs_Wärme[],24,FALSE),"")</f>
        <v/>
      </c>
      <c r="AK37" s="15" t="str">
        <f>IFERROR(Wärme[[#This Row],[Wert 
(Zahl)]]*Wärme[[#This Row],[EF Scope 1 CO2e
(kg CO2e/Einheit)]],"")</f>
        <v/>
      </c>
      <c r="AL37" s="15" t="str">
        <f>IFERROR(Wärme[[#This Row],[Wert 
(Zahl)]]*Wärme[[#This Row],[EF Scope 2 CO2e
(kg CO2e/Einheit)]],"")</f>
        <v/>
      </c>
      <c r="AM37" s="15" t="str">
        <f>IFERROR(Wärme[[#This Row],[Wert 
(Zahl)]]*Wärme[[#This Row],[EF Scope 3 CO2e
(kg CO2e/Einheit)]],"")</f>
        <v/>
      </c>
      <c r="AN37" s="15" t="str">
        <f>IFERROR(Wärme[[#This Row],[Wert 
(Zahl)]]*Wärme[[#This Row],[EF Scope 1 CO2 biogen
(kg CO2 /Einheit)]],"")</f>
        <v/>
      </c>
      <c r="AO37" s="15" t="str">
        <f>IFERROR(Wärme[[#This Row],[Wert 
(Zahl)]]*Wärme[[#This Row],[EF Scope 1 CO2
(kg CO2/Einheit)]],"")</f>
        <v/>
      </c>
      <c r="AP37" s="15" t="str">
        <f>IFERROR(Wärme[[#This Row],[Wert 
(Zahl)]]*Wärme[[#This Row],[EF Scope 1 CH4
(kg CH4/Einheit)]],"")</f>
        <v/>
      </c>
      <c r="AQ37" s="15" t="str">
        <f>IFERROR(Wärme[[#This Row],[Wert 
(Zahl)]]*Wärme[[#This Row],[EF Scope 1 N2O
(kg N2O/Einheit)]],"")</f>
        <v/>
      </c>
      <c r="AR37" s="15" t="str">
        <f>IFERROR(Wärme[[#This Row],[Wert 
(Zahl)]]*Wärme[[#This Row],[EF Scope 1 HFCs
(kg HFCs/Einheit)]],"")</f>
        <v/>
      </c>
      <c r="AS37" s="15" t="str">
        <f>IFERROR(Wärme[[#This Row],[Wert 
(Zahl)]]*Wärme[[#This Row],[EF Scope 1 PFCs
(kg PFCs/Einheit)]],"")</f>
        <v/>
      </c>
      <c r="AT37" s="15" t="str">
        <f>IFERROR(Wärme[[#This Row],[Wert 
(Zahl)]]*Wärme[[#This Row],[EF Scope 1 SF6
(kg SF6/Einheit)]],"")</f>
        <v/>
      </c>
      <c r="AU37" s="15" t="str">
        <f>IFERROR(Wärme[[#This Row],[Wert 
(Zahl)]]*Wärme[[#This Row],[EF Scope 1 NF3
(kg NF3/Einheit)]],"")</f>
        <v/>
      </c>
      <c r="AV37" s="15" t="str">
        <f>IFERROR(Wärme[[#This Row],[Wert 
(Zahl)]]*Wärme[[#This Row],[EF Scope 1 Nicht-Kyoto-Gase (kg Nicht-Kyoto-Gase/Einheit)]],"")</f>
        <v/>
      </c>
      <c r="AW37" s="15" t="str">
        <f>IFERROR(Wärme[[#This Row],[Wert 
(Zahl)]]*Wärme[[#This Row],[EF Scope 2 CO2
(kg CO2/Einheit)]],"")</f>
        <v/>
      </c>
      <c r="AX37" s="15" t="str">
        <f>IFERROR(Wärme[[#This Row],[Wert 
(Zahl)]]*Wärme[[#This Row],[EF Scope 2 CH4
(kg CH4/Einheit)]],"")</f>
        <v/>
      </c>
      <c r="AY37" s="15" t="str">
        <f>IFERROR(Wärme[[#This Row],[Wert 
(Zahl)]]*Wärme[[#This Row],[EF Scope 2 N2O
(kg N2O/Einheit)]],"")</f>
        <v/>
      </c>
      <c r="AZ37" s="15" t="str">
        <f>IFERROR(Wärme[[#This Row],[Wert 
(Zahl)]]*Wärme[[#This Row],[EF Scope 2 HFCs
(kg HFCs/Einheit)]],"")</f>
        <v/>
      </c>
      <c r="BA37" s="15" t="str">
        <f>IFERROR(Wärme[[#This Row],[Wert 
(Zahl)]]*Wärme[[#This Row],[EF Scope 2 PFCs
(kg PFCs/Einheit)]],"")</f>
        <v/>
      </c>
      <c r="BB37" s="15" t="str">
        <f>IFERROR(Wärme[[#This Row],[Wert 
(Zahl)]]*Wärme[[#This Row],[EF Scope 2 SF6
(kg SF6/Einheit)]],"")</f>
        <v/>
      </c>
      <c r="BC37" s="15" t="str">
        <f>IFERROR(Wärme[[#This Row],[Wert 
(Zahl)]]*Wärme[[#This Row],[EF Scope 2 NF3
(kg NF3/Einheit)]],"")</f>
        <v/>
      </c>
      <c r="BD37" s="15" t="str">
        <f>IFERROR(Wärme[[#This Row],[Wert 
(Zahl)]]*Wärme[[#This Row],[EF Scope 2 Nicht-Kyoto-Gase (kg Nicht-Kyoto-Gase/Einheit)]],"")</f>
        <v/>
      </c>
      <c r="BE37" s="15" t="str">
        <f>IF(ISBLANK(Wärme[[#This Row],[Wert 
(Zahl)]]),"",IFERROR(Wärme[[#This Row],[Scope 1 CO2 '[kg CO2']]]*IFERROR(VLOOKUP("CO2",GWP_100[],3,FALSE),0),0))</f>
        <v/>
      </c>
      <c r="BF37" s="15" t="str">
        <f>IF(ISBLANK(Wärme[[#This Row],[Wert 
(Zahl)]]),"",IFERROR(Wärme[[#This Row],[Scope 1 CH4 '[kg CH4']]]*IFERROR(VLOOKUP("CH4",GWP_100[],4,FALSE),0),0))</f>
        <v/>
      </c>
      <c r="BG37" s="15" t="str">
        <f>IF(ISBLANK(Wärme[[#This Row],[Wert 
(Zahl)]]),"",IFERROR(Wärme[[#This Row],[Scope 1 N2O '[kg N2O']]]*IFERROR(VLOOKUP("N2O",GWP_100[],5,FALSE),0),0))</f>
        <v/>
      </c>
      <c r="BH37" s="15" t="str">
        <f>IF(ISBLANK(Wärme[[#This Row],[Wert 
(Zahl)]]),"",IFERROR(Wärme[[#This Row],[Scope 1 HFCs '[kg HFCs']]]*IFERROR(VLOOKUP(Wärme[[#This Row],[Emissionsquelle/Aktivität (Dropdown)]],GWP_100[],6,FALSE),0),0))</f>
        <v/>
      </c>
      <c r="BI37" s="15" t="str">
        <f>IF(ISBLANK(Wärme[[#This Row],[Wert 
(Zahl)]]),"",IFERROR(Wärme[[#This Row],[Scope 1 PFCs '[kg PFCs']]]*IFERROR(VLOOKUP(Wärme[[#This Row],[Emissionsquelle/Aktivität (Dropdown)]],GWP_100[],7,FALSE),0),0))</f>
        <v/>
      </c>
      <c r="BJ37" s="15" t="str">
        <f>IF(ISBLANK(Wärme[[#This Row],[Wert 
(Zahl)]]),"",IFERROR(Wärme[[#This Row],[Scope 1 SF6 '[kg SF6']]]*IFERROR(VLOOKUP("SF6",GWP_100[],8,FALSE),0),0))</f>
        <v/>
      </c>
      <c r="BK37" s="15" t="str">
        <f>IF(ISBLANK(Wärme[[#This Row],[Wert 
(Zahl)]]),"",IFERROR(Wärme[[#This Row],[Scope 1 NF3 '[kg NF3']]]*IFERROR(VLOOKUP("NF3",GWP_100[],9,FALSE),0),0))</f>
        <v/>
      </c>
      <c r="BL37" s="15" t="str">
        <f>IF(ISBLANK(Wärme[[#This Row],[Wert 
(Zahl)]]),"",IFERROR(Wärme[[#This Row],[Scope 1 non-Kyoto '[kg non-Kyoto gas']]]*IFERROR(VLOOKUP(Wärme[[#This Row],[Emissionsquelle/Aktivität (Dropdown)]],GWP_100[],10,FALSE),0),0))</f>
        <v/>
      </c>
      <c r="BM37" s="15" t="str">
        <f>IF(ISBLANK(Wärme[[#This Row],[Wert 
(Zahl)]]),"",IFERROR(Wärme[[#This Row],[Scope 2 CO2 '[kg CO2']]]*IFERROR(VLOOKUP("CO2",GWP_100[],3,FALSE),0),0))</f>
        <v/>
      </c>
      <c r="BN37" s="15" t="str">
        <f>IF(ISBLANK(Wärme[[#This Row],[Wert 
(Zahl)]]),"",IFERROR(Wärme[[#This Row],[Scope 2 CH4 '[kg CH4']]]*IFERROR(VLOOKUP("CH4",GWP_100[],4,FALSE),0),0))</f>
        <v/>
      </c>
      <c r="BO37" s="15" t="str">
        <f>IF(ISBLANK(Wärme[[#This Row],[Wert 
(Zahl)]]),"",IFERROR(Wärme[[#This Row],[Scope 2 N2O '[kg N2O']]]*IFERROR(VLOOKUP("N2O",GWP_100[],5,FALSE),0),0))</f>
        <v/>
      </c>
      <c r="BP37" s="15" t="str">
        <f>IF(ISBLANK(Wärme[[#This Row],[Wert 
(Zahl)]]),"",IFERROR(Wärme[[#This Row],[Scope 2 HFCs '[kg HFCs']]]*IFERROR(VLOOKUP(Wärme[[#This Row],[Emissionsquelle/Aktivität (Dropdown)]],GWP_100[],6,FALSE),0),0))</f>
        <v/>
      </c>
      <c r="BQ37" s="15" t="str">
        <f>IF(ISBLANK(Wärme[[#This Row],[Wert 
(Zahl)]]),"",IFERROR(Wärme[[#This Row],[Scope 2 PFCs '[kg PFCs']]]*IFERROR(VLOOKUP(Wärme[[#This Row],[Emissionsquelle/Aktivität (Dropdown)]],GWP_100[],7,FALSE),0),0))</f>
        <v/>
      </c>
      <c r="BR37" s="15" t="str">
        <f>IF(ISBLANK(Wärme[[#This Row],[Wert 
(Zahl)]]),"",IFERROR(Wärme[[#This Row],[Scope 2 SF6 '[kg SF6']]]*IFERROR(VLOOKUP("SF6",GWP_100[],8,FALSE),0),0))</f>
        <v/>
      </c>
      <c r="BS37" s="15" t="str">
        <f>IF(ISBLANK(Wärme[[#This Row],[Wert 
(Zahl)]]),"",IFERROR(Wärme[[#This Row],[Scope 2 NF3 '[kg NF3']]]*IFERROR(VLOOKUP("NF3",GWP_100[],9,FALSE),0),0))</f>
        <v/>
      </c>
      <c r="BT37" s="15" t="str">
        <f>IF(ISBLANK(Wärme[[#This Row],[Wert 
(Zahl)]]),"",IFERROR(Wärme[[#This Row],[Scope 2 non-Kyoto '[kg non-Kyoto gas']]]*IFERROR(VLOOKUP(Wärme[[#This Row],[Emissionsquelle/Aktivität (Dropdown)]],GWP_100[],10,FALSE),0),0))</f>
        <v/>
      </c>
    </row>
    <row r="38" spans="2:72" s="89" customFormat="1" x14ac:dyDescent="0.35">
      <c r="B38" s="604"/>
      <c r="C38" s="10" t="str">
        <f t="shared" si="0"/>
        <v>Wärme</v>
      </c>
      <c r="D38" s="90"/>
      <c r="E38" s="90"/>
      <c r="F38" s="288"/>
      <c r="G38" s="10" t="str">
        <f>IFERROR(VLOOKUP(Wärme[[#This Row],[Thema_Bezeichung]],EFs_Wärme[],4,FALSE),"")</f>
        <v/>
      </c>
      <c r="H38" s="90"/>
      <c r="I38" s="90"/>
      <c r="J38" s="90"/>
      <c r="K38" s="90"/>
      <c r="L38" s="284" t="str">
        <f>IF(ISBLANK(Wärme[[#This Row],[Wert 
(Zahl)]]),"", SUM(Wärme[[#This Row],[Scope 1 CO2e '[kg CO2e']]:[Scope 3 CO2e '[kg CO2e']]]))</f>
        <v/>
      </c>
      <c r="M38" s="158"/>
      <c r="N38" s="158"/>
      <c r="O38" s="15" t="str">
        <f>IF(ISBLANK(Wärme[[#This Row],[Emissionsquelle/Aktivität (Dropdown)]]),"",CONCATENATE(Wärme[[#This Row],[Sektor_Thema]]," - ",Wärme[[#This Row],[Emissionsquelle/Aktivität (Dropdown)]]))</f>
        <v/>
      </c>
      <c r="P38" s="15" t="str">
        <f>IF(ISBLANK(Wärme[[#This Row],[Emissionsquelle/Aktivität (Dropdown)]]),"",AND(Wärme[[#This Row],[Emissionsquelle/Aktivität (Dropdown)]]="Fernwärme (Wert Energieversorger)",ISNUMBER(Wärme[[#This Row],[Fernwärme Eigenfaktor Scope 2
'[g CO2e/kWh']
(falls zutreffend)]])))</f>
        <v/>
      </c>
      <c r="Q38" s="15" t="str">
        <f>IFERROR(VLOOKUP(Wärme[[#This Row],[Thema_Bezeichung]],EFs_Wärme[],5,FALSE),"")</f>
        <v/>
      </c>
      <c r="R38" s="15" t="str">
        <f>IFERROR(VLOOKUP(Wärme[[#This Row],[Thema_Bezeichung]],EFs_Wärme[],6,FALSE),"")</f>
        <v/>
      </c>
      <c r="S38" s="15" t="str">
        <f>IFERROR(VLOOKUP(Wärme[[#This Row],[Thema_Bezeichung]],EFs_Wärme[],7,FALSE),"")</f>
        <v/>
      </c>
      <c r="T38" s="15" t="str">
        <f>IFERROR(VLOOKUP(Wärme[[#This Row],[Thema_Bezeichung]],EFs_Wärme[],8,FALSE),"")</f>
        <v/>
      </c>
      <c r="U38" s="15" t="str">
        <f>IFERROR(VLOOKUP(Wärme[[#This Row],[Thema_Bezeichung]],EFs_Wärme[],9,FALSE),"")</f>
        <v/>
      </c>
      <c r="V38" s="15" t="str">
        <f>IFERROR(VLOOKUP(Wärme[[#This Row],[Thema_Bezeichung]],EFs_Wärme[],10,FALSE),"")</f>
        <v/>
      </c>
      <c r="W38" s="15" t="str">
        <f>IFERROR(VLOOKUP(Wärme[[#This Row],[Thema_Bezeichung]],EFs_Wärme[],11,FALSE),"")</f>
        <v/>
      </c>
      <c r="X38" s="15" t="str">
        <f>IFERROR(VLOOKUP(Wärme[[#This Row],[Thema_Bezeichung]],EFs_Wärme[],12,FALSE),"")</f>
        <v/>
      </c>
      <c r="Y38" s="15" t="str">
        <f>IFERROR(VLOOKUP(Wärme[[#This Row],[Thema_Bezeichung]],EFs_Wärme[],13,FALSE),"")</f>
        <v/>
      </c>
      <c r="Z38" s="15" t="str">
        <f>IFERROR(VLOOKUP(Wärme[[#This Row],[Thema_Bezeichung]],EFs_Wärme[],14,FALSE),"")</f>
        <v/>
      </c>
      <c r="AA38" s="15" t="str">
        <f>IF(Wärme[[#This Row],[Fernwärme - Eigenfaktor angegeben?]]=TRUE,Wärme[[#This Row],[Fernwärme Eigenfaktor Scope 2
'[g CO2e/kWh']
(falls zutreffend)]]/1000,IFERROR(VLOOKUP(Wärme[[#This Row],[Thema_Bezeichung]],EFs_Wärme[],15,FALSE),""))</f>
        <v/>
      </c>
      <c r="AB38" s="15" t="str">
        <f>IFERROR(VLOOKUP(Wärme[[#This Row],[Thema_Bezeichung]],EFs_Wärme[],16,FALSE),"")</f>
        <v/>
      </c>
      <c r="AC38" s="15" t="str">
        <f>IFERROR(VLOOKUP(Wärme[[#This Row],[Thema_Bezeichung]],EFs_Wärme[],17,FALSE),"")</f>
        <v/>
      </c>
      <c r="AD38" s="15" t="str">
        <f>IFERROR(VLOOKUP(Wärme[[#This Row],[Thema_Bezeichung]],EFs_Wärme[],18,FALSE),"")</f>
        <v/>
      </c>
      <c r="AE38" s="15" t="str">
        <f>IFERROR(VLOOKUP(Wärme[[#This Row],[Thema_Bezeichung]],EFs_Wärme[],19,FALSE),"")</f>
        <v/>
      </c>
      <c r="AF38" s="15" t="str">
        <f>IFERROR(VLOOKUP(Wärme[[#This Row],[Thema_Bezeichung]],EFs_Wärme[],20,FALSE),"")</f>
        <v/>
      </c>
      <c r="AG38" s="15" t="str">
        <f>IFERROR(VLOOKUP(Wärme[[#This Row],[Thema_Bezeichung]],EFs_Wärme[],21,FALSE),"")</f>
        <v/>
      </c>
      <c r="AH38" s="15" t="str">
        <f>IFERROR(VLOOKUP(Wärme[[#This Row],[Thema_Bezeichung]],EFs_Wärme[],22,FALSE),"")</f>
        <v/>
      </c>
      <c r="AI38" s="15" t="str">
        <f>IFERROR(VLOOKUP(Wärme[[#This Row],[Thema_Bezeichung]],EFs_Wärme[],23,FALSE),"")</f>
        <v/>
      </c>
      <c r="AJ38" s="15" t="str">
        <f>IFERROR(VLOOKUP(Wärme[[#This Row],[Thema_Bezeichung]],EFs_Wärme[],24,FALSE),"")</f>
        <v/>
      </c>
      <c r="AK38" s="15" t="str">
        <f>IFERROR(Wärme[[#This Row],[Wert 
(Zahl)]]*Wärme[[#This Row],[EF Scope 1 CO2e
(kg CO2e/Einheit)]],"")</f>
        <v/>
      </c>
      <c r="AL38" s="15" t="str">
        <f>IFERROR(Wärme[[#This Row],[Wert 
(Zahl)]]*Wärme[[#This Row],[EF Scope 2 CO2e
(kg CO2e/Einheit)]],"")</f>
        <v/>
      </c>
      <c r="AM38" s="15" t="str">
        <f>IFERROR(Wärme[[#This Row],[Wert 
(Zahl)]]*Wärme[[#This Row],[EF Scope 3 CO2e
(kg CO2e/Einheit)]],"")</f>
        <v/>
      </c>
      <c r="AN38" s="15" t="str">
        <f>IFERROR(Wärme[[#This Row],[Wert 
(Zahl)]]*Wärme[[#This Row],[EF Scope 1 CO2 biogen
(kg CO2 /Einheit)]],"")</f>
        <v/>
      </c>
      <c r="AO38" s="15" t="str">
        <f>IFERROR(Wärme[[#This Row],[Wert 
(Zahl)]]*Wärme[[#This Row],[EF Scope 1 CO2
(kg CO2/Einheit)]],"")</f>
        <v/>
      </c>
      <c r="AP38" s="15" t="str">
        <f>IFERROR(Wärme[[#This Row],[Wert 
(Zahl)]]*Wärme[[#This Row],[EF Scope 1 CH4
(kg CH4/Einheit)]],"")</f>
        <v/>
      </c>
      <c r="AQ38" s="15" t="str">
        <f>IFERROR(Wärme[[#This Row],[Wert 
(Zahl)]]*Wärme[[#This Row],[EF Scope 1 N2O
(kg N2O/Einheit)]],"")</f>
        <v/>
      </c>
      <c r="AR38" s="15" t="str">
        <f>IFERROR(Wärme[[#This Row],[Wert 
(Zahl)]]*Wärme[[#This Row],[EF Scope 1 HFCs
(kg HFCs/Einheit)]],"")</f>
        <v/>
      </c>
      <c r="AS38" s="15" t="str">
        <f>IFERROR(Wärme[[#This Row],[Wert 
(Zahl)]]*Wärme[[#This Row],[EF Scope 1 PFCs
(kg PFCs/Einheit)]],"")</f>
        <v/>
      </c>
      <c r="AT38" s="15" t="str">
        <f>IFERROR(Wärme[[#This Row],[Wert 
(Zahl)]]*Wärme[[#This Row],[EF Scope 1 SF6
(kg SF6/Einheit)]],"")</f>
        <v/>
      </c>
      <c r="AU38" s="15" t="str">
        <f>IFERROR(Wärme[[#This Row],[Wert 
(Zahl)]]*Wärme[[#This Row],[EF Scope 1 NF3
(kg NF3/Einheit)]],"")</f>
        <v/>
      </c>
      <c r="AV38" s="15" t="str">
        <f>IFERROR(Wärme[[#This Row],[Wert 
(Zahl)]]*Wärme[[#This Row],[EF Scope 1 Nicht-Kyoto-Gase (kg Nicht-Kyoto-Gase/Einheit)]],"")</f>
        <v/>
      </c>
      <c r="AW38" s="15" t="str">
        <f>IFERROR(Wärme[[#This Row],[Wert 
(Zahl)]]*Wärme[[#This Row],[EF Scope 2 CO2
(kg CO2/Einheit)]],"")</f>
        <v/>
      </c>
      <c r="AX38" s="15" t="str">
        <f>IFERROR(Wärme[[#This Row],[Wert 
(Zahl)]]*Wärme[[#This Row],[EF Scope 2 CH4
(kg CH4/Einheit)]],"")</f>
        <v/>
      </c>
      <c r="AY38" s="15" t="str">
        <f>IFERROR(Wärme[[#This Row],[Wert 
(Zahl)]]*Wärme[[#This Row],[EF Scope 2 N2O
(kg N2O/Einheit)]],"")</f>
        <v/>
      </c>
      <c r="AZ38" s="15" t="str">
        <f>IFERROR(Wärme[[#This Row],[Wert 
(Zahl)]]*Wärme[[#This Row],[EF Scope 2 HFCs
(kg HFCs/Einheit)]],"")</f>
        <v/>
      </c>
      <c r="BA38" s="15" t="str">
        <f>IFERROR(Wärme[[#This Row],[Wert 
(Zahl)]]*Wärme[[#This Row],[EF Scope 2 PFCs
(kg PFCs/Einheit)]],"")</f>
        <v/>
      </c>
      <c r="BB38" s="15" t="str">
        <f>IFERROR(Wärme[[#This Row],[Wert 
(Zahl)]]*Wärme[[#This Row],[EF Scope 2 SF6
(kg SF6/Einheit)]],"")</f>
        <v/>
      </c>
      <c r="BC38" s="15" t="str">
        <f>IFERROR(Wärme[[#This Row],[Wert 
(Zahl)]]*Wärme[[#This Row],[EF Scope 2 NF3
(kg NF3/Einheit)]],"")</f>
        <v/>
      </c>
      <c r="BD38" s="15" t="str">
        <f>IFERROR(Wärme[[#This Row],[Wert 
(Zahl)]]*Wärme[[#This Row],[EF Scope 2 Nicht-Kyoto-Gase (kg Nicht-Kyoto-Gase/Einheit)]],"")</f>
        <v/>
      </c>
      <c r="BE38" s="15" t="str">
        <f>IF(ISBLANK(Wärme[[#This Row],[Wert 
(Zahl)]]),"",IFERROR(Wärme[[#This Row],[Scope 1 CO2 '[kg CO2']]]*IFERROR(VLOOKUP("CO2",GWP_100[],3,FALSE),0),0))</f>
        <v/>
      </c>
      <c r="BF38" s="15" t="str">
        <f>IF(ISBLANK(Wärme[[#This Row],[Wert 
(Zahl)]]),"",IFERROR(Wärme[[#This Row],[Scope 1 CH4 '[kg CH4']]]*IFERROR(VLOOKUP("CH4",GWP_100[],4,FALSE),0),0))</f>
        <v/>
      </c>
      <c r="BG38" s="15" t="str">
        <f>IF(ISBLANK(Wärme[[#This Row],[Wert 
(Zahl)]]),"",IFERROR(Wärme[[#This Row],[Scope 1 N2O '[kg N2O']]]*IFERROR(VLOOKUP("N2O",GWP_100[],5,FALSE),0),0))</f>
        <v/>
      </c>
      <c r="BH38" s="15" t="str">
        <f>IF(ISBLANK(Wärme[[#This Row],[Wert 
(Zahl)]]),"",IFERROR(Wärme[[#This Row],[Scope 1 HFCs '[kg HFCs']]]*IFERROR(VLOOKUP(Wärme[[#This Row],[Emissionsquelle/Aktivität (Dropdown)]],GWP_100[],6,FALSE),0),0))</f>
        <v/>
      </c>
      <c r="BI38" s="15" t="str">
        <f>IF(ISBLANK(Wärme[[#This Row],[Wert 
(Zahl)]]),"",IFERROR(Wärme[[#This Row],[Scope 1 PFCs '[kg PFCs']]]*IFERROR(VLOOKUP(Wärme[[#This Row],[Emissionsquelle/Aktivität (Dropdown)]],GWP_100[],7,FALSE),0),0))</f>
        <v/>
      </c>
      <c r="BJ38" s="15" t="str">
        <f>IF(ISBLANK(Wärme[[#This Row],[Wert 
(Zahl)]]),"",IFERROR(Wärme[[#This Row],[Scope 1 SF6 '[kg SF6']]]*IFERROR(VLOOKUP("SF6",GWP_100[],8,FALSE),0),0))</f>
        <v/>
      </c>
      <c r="BK38" s="15" t="str">
        <f>IF(ISBLANK(Wärme[[#This Row],[Wert 
(Zahl)]]),"",IFERROR(Wärme[[#This Row],[Scope 1 NF3 '[kg NF3']]]*IFERROR(VLOOKUP("NF3",GWP_100[],9,FALSE),0),0))</f>
        <v/>
      </c>
      <c r="BL38" s="15" t="str">
        <f>IF(ISBLANK(Wärme[[#This Row],[Wert 
(Zahl)]]),"",IFERROR(Wärme[[#This Row],[Scope 1 non-Kyoto '[kg non-Kyoto gas']]]*IFERROR(VLOOKUP(Wärme[[#This Row],[Emissionsquelle/Aktivität (Dropdown)]],GWP_100[],10,FALSE),0),0))</f>
        <v/>
      </c>
      <c r="BM38" s="15" t="str">
        <f>IF(ISBLANK(Wärme[[#This Row],[Wert 
(Zahl)]]),"",IFERROR(Wärme[[#This Row],[Scope 2 CO2 '[kg CO2']]]*IFERROR(VLOOKUP("CO2",GWP_100[],3,FALSE),0),0))</f>
        <v/>
      </c>
      <c r="BN38" s="15" t="str">
        <f>IF(ISBLANK(Wärme[[#This Row],[Wert 
(Zahl)]]),"",IFERROR(Wärme[[#This Row],[Scope 2 CH4 '[kg CH4']]]*IFERROR(VLOOKUP("CH4",GWP_100[],4,FALSE),0),0))</f>
        <v/>
      </c>
      <c r="BO38" s="15" t="str">
        <f>IF(ISBLANK(Wärme[[#This Row],[Wert 
(Zahl)]]),"",IFERROR(Wärme[[#This Row],[Scope 2 N2O '[kg N2O']]]*IFERROR(VLOOKUP("N2O",GWP_100[],5,FALSE),0),0))</f>
        <v/>
      </c>
      <c r="BP38" s="15" t="str">
        <f>IF(ISBLANK(Wärme[[#This Row],[Wert 
(Zahl)]]),"",IFERROR(Wärme[[#This Row],[Scope 2 HFCs '[kg HFCs']]]*IFERROR(VLOOKUP(Wärme[[#This Row],[Emissionsquelle/Aktivität (Dropdown)]],GWP_100[],6,FALSE),0),0))</f>
        <v/>
      </c>
      <c r="BQ38" s="15" t="str">
        <f>IF(ISBLANK(Wärme[[#This Row],[Wert 
(Zahl)]]),"",IFERROR(Wärme[[#This Row],[Scope 2 PFCs '[kg PFCs']]]*IFERROR(VLOOKUP(Wärme[[#This Row],[Emissionsquelle/Aktivität (Dropdown)]],GWP_100[],7,FALSE),0),0))</f>
        <v/>
      </c>
      <c r="BR38" s="15" t="str">
        <f>IF(ISBLANK(Wärme[[#This Row],[Wert 
(Zahl)]]),"",IFERROR(Wärme[[#This Row],[Scope 2 SF6 '[kg SF6']]]*IFERROR(VLOOKUP("SF6",GWP_100[],8,FALSE),0),0))</f>
        <v/>
      </c>
      <c r="BS38" s="15" t="str">
        <f>IF(ISBLANK(Wärme[[#This Row],[Wert 
(Zahl)]]),"",IFERROR(Wärme[[#This Row],[Scope 2 NF3 '[kg NF3']]]*IFERROR(VLOOKUP("NF3",GWP_100[],9,FALSE),0),0))</f>
        <v/>
      </c>
      <c r="BT38" s="15" t="str">
        <f>IF(ISBLANK(Wärme[[#This Row],[Wert 
(Zahl)]]),"",IFERROR(Wärme[[#This Row],[Scope 2 non-Kyoto '[kg non-Kyoto gas']]]*IFERROR(VLOOKUP(Wärme[[#This Row],[Emissionsquelle/Aktivität (Dropdown)]],GWP_100[],10,FALSE),0),0))</f>
        <v/>
      </c>
    </row>
    <row r="39" spans="2:72" s="89" customFormat="1" x14ac:dyDescent="0.35">
      <c r="B39" s="604"/>
      <c r="C39" s="10" t="str">
        <f t="shared" si="0"/>
        <v>Wärme</v>
      </c>
      <c r="D39" s="90"/>
      <c r="E39" s="90"/>
      <c r="F39" s="288"/>
      <c r="G39" s="10" t="str">
        <f>IFERROR(VLOOKUP(Wärme[[#This Row],[Thema_Bezeichung]],EFs_Wärme[],4,FALSE),"")</f>
        <v/>
      </c>
      <c r="H39" s="90"/>
      <c r="I39" s="90"/>
      <c r="J39" s="90"/>
      <c r="K39" s="90"/>
      <c r="L39" s="284" t="str">
        <f>IF(ISBLANK(Wärme[[#This Row],[Wert 
(Zahl)]]),"", SUM(Wärme[[#This Row],[Scope 1 CO2e '[kg CO2e']]:[Scope 3 CO2e '[kg CO2e']]]))</f>
        <v/>
      </c>
      <c r="M39" s="158"/>
      <c r="N39" s="158"/>
      <c r="O39" s="15" t="str">
        <f>IF(ISBLANK(Wärme[[#This Row],[Emissionsquelle/Aktivität (Dropdown)]]),"",CONCATENATE(Wärme[[#This Row],[Sektor_Thema]]," - ",Wärme[[#This Row],[Emissionsquelle/Aktivität (Dropdown)]]))</f>
        <v/>
      </c>
      <c r="P39" s="15" t="str">
        <f>IF(ISBLANK(Wärme[[#This Row],[Emissionsquelle/Aktivität (Dropdown)]]),"",AND(Wärme[[#This Row],[Emissionsquelle/Aktivität (Dropdown)]]="Fernwärme (Wert Energieversorger)",ISNUMBER(Wärme[[#This Row],[Fernwärme Eigenfaktor Scope 2
'[g CO2e/kWh']
(falls zutreffend)]])))</f>
        <v/>
      </c>
      <c r="Q39" s="15" t="str">
        <f>IFERROR(VLOOKUP(Wärme[[#This Row],[Thema_Bezeichung]],EFs_Wärme[],5,FALSE),"")</f>
        <v/>
      </c>
      <c r="R39" s="15" t="str">
        <f>IFERROR(VLOOKUP(Wärme[[#This Row],[Thema_Bezeichung]],EFs_Wärme[],6,FALSE),"")</f>
        <v/>
      </c>
      <c r="S39" s="15" t="str">
        <f>IFERROR(VLOOKUP(Wärme[[#This Row],[Thema_Bezeichung]],EFs_Wärme[],7,FALSE),"")</f>
        <v/>
      </c>
      <c r="T39" s="15" t="str">
        <f>IFERROR(VLOOKUP(Wärme[[#This Row],[Thema_Bezeichung]],EFs_Wärme[],8,FALSE),"")</f>
        <v/>
      </c>
      <c r="U39" s="15" t="str">
        <f>IFERROR(VLOOKUP(Wärme[[#This Row],[Thema_Bezeichung]],EFs_Wärme[],9,FALSE),"")</f>
        <v/>
      </c>
      <c r="V39" s="15" t="str">
        <f>IFERROR(VLOOKUP(Wärme[[#This Row],[Thema_Bezeichung]],EFs_Wärme[],10,FALSE),"")</f>
        <v/>
      </c>
      <c r="W39" s="15" t="str">
        <f>IFERROR(VLOOKUP(Wärme[[#This Row],[Thema_Bezeichung]],EFs_Wärme[],11,FALSE),"")</f>
        <v/>
      </c>
      <c r="X39" s="15" t="str">
        <f>IFERROR(VLOOKUP(Wärme[[#This Row],[Thema_Bezeichung]],EFs_Wärme[],12,FALSE),"")</f>
        <v/>
      </c>
      <c r="Y39" s="15" t="str">
        <f>IFERROR(VLOOKUP(Wärme[[#This Row],[Thema_Bezeichung]],EFs_Wärme[],13,FALSE),"")</f>
        <v/>
      </c>
      <c r="Z39" s="15" t="str">
        <f>IFERROR(VLOOKUP(Wärme[[#This Row],[Thema_Bezeichung]],EFs_Wärme[],14,FALSE),"")</f>
        <v/>
      </c>
      <c r="AA39" s="15" t="str">
        <f>IF(Wärme[[#This Row],[Fernwärme - Eigenfaktor angegeben?]]=TRUE,Wärme[[#This Row],[Fernwärme Eigenfaktor Scope 2
'[g CO2e/kWh']
(falls zutreffend)]]/1000,IFERROR(VLOOKUP(Wärme[[#This Row],[Thema_Bezeichung]],EFs_Wärme[],15,FALSE),""))</f>
        <v/>
      </c>
      <c r="AB39" s="15" t="str">
        <f>IFERROR(VLOOKUP(Wärme[[#This Row],[Thema_Bezeichung]],EFs_Wärme[],16,FALSE),"")</f>
        <v/>
      </c>
      <c r="AC39" s="15" t="str">
        <f>IFERROR(VLOOKUP(Wärme[[#This Row],[Thema_Bezeichung]],EFs_Wärme[],17,FALSE),"")</f>
        <v/>
      </c>
      <c r="AD39" s="15" t="str">
        <f>IFERROR(VLOOKUP(Wärme[[#This Row],[Thema_Bezeichung]],EFs_Wärme[],18,FALSE),"")</f>
        <v/>
      </c>
      <c r="AE39" s="15" t="str">
        <f>IFERROR(VLOOKUP(Wärme[[#This Row],[Thema_Bezeichung]],EFs_Wärme[],19,FALSE),"")</f>
        <v/>
      </c>
      <c r="AF39" s="15" t="str">
        <f>IFERROR(VLOOKUP(Wärme[[#This Row],[Thema_Bezeichung]],EFs_Wärme[],20,FALSE),"")</f>
        <v/>
      </c>
      <c r="AG39" s="15" t="str">
        <f>IFERROR(VLOOKUP(Wärme[[#This Row],[Thema_Bezeichung]],EFs_Wärme[],21,FALSE),"")</f>
        <v/>
      </c>
      <c r="AH39" s="15" t="str">
        <f>IFERROR(VLOOKUP(Wärme[[#This Row],[Thema_Bezeichung]],EFs_Wärme[],22,FALSE),"")</f>
        <v/>
      </c>
      <c r="AI39" s="15" t="str">
        <f>IFERROR(VLOOKUP(Wärme[[#This Row],[Thema_Bezeichung]],EFs_Wärme[],23,FALSE),"")</f>
        <v/>
      </c>
      <c r="AJ39" s="15" t="str">
        <f>IFERROR(VLOOKUP(Wärme[[#This Row],[Thema_Bezeichung]],EFs_Wärme[],24,FALSE),"")</f>
        <v/>
      </c>
      <c r="AK39" s="15" t="str">
        <f>IFERROR(Wärme[[#This Row],[Wert 
(Zahl)]]*Wärme[[#This Row],[EF Scope 1 CO2e
(kg CO2e/Einheit)]],"")</f>
        <v/>
      </c>
      <c r="AL39" s="15" t="str">
        <f>IFERROR(Wärme[[#This Row],[Wert 
(Zahl)]]*Wärme[[#This Row],[EF Scope 2 CO2e
(kg CO2e/Einheit)]],"")</f>
        <v/>
      </c>
      <c r="AM39" s="15" t="str">
        <f>IFERROR(Wärme[[#This Row],[Wert 
(Zahl)]]*Wärme[[#This Row],[EF Scope 3 CO2e
(kg CO2e/Einheit)]],"")</f>
        <v/>
      </c>
      <c r="AN39" s="15" t="str">
        <f>IFERROR(Wärme[[#This Row],[Wert 
(Zahl)]]*Wärme[[#This Row],[EF Scope 1 CO2 biogen
(kg CO2 /Einheit)]],"")</f>
        <v/>
      </c>
      <c r="AO39" s="15" t="str">
        <f>IFERROR(Wärme[[#This Row],[Wert 
(Zahl)]]*Wärme[[#This Row],[EF Scope 1 CO2
(kg CO2/Einheit)]],"")</f>
        <v/>
      </c>
      <c r="AP39" s="15" t="str">
        <f>IFERROR(Wärme[[#This Row],[Wert 
(Zahl)]]*Wärme[[#This Row],[EF Scope 1 CH4
(kg CH4/Einheit)]],"")</f>
        <v/>
      </c>
      <c r="AQ39" s="15" t="str">
        <f>IFERROR(Wärme[[#This Row],[Wert 
(Zahl)]]*Wärme[[#This Row],[EF Scope 1 N2O
(kg N2O/Einheit)]],"")</f>
        <v/>
      </c>
      <c r="AR39" s="15" t="str">
        <f>IFERROR(Wärme[[#This Row],[Wert 
(Zahl)]]*Wärme[[#This Row],[EF Scope 1 HFCs
(kg HFCs/Einheit)]],"")</f>
        <v/>
      </c>
      <c r="AS39" s="15" t="str">
        <f>IFERROR(Wärme[[#This Row],[Wert 
(Zahl)]]*Wärme[[#This Row],[EF Scope 1 PFCs
(kg PFCs/Einheit)]],"")</f>
        <v/>
      </c>
      <c r="AT39" s="15" t="str">
        <f>IFERROR(Wärme[[#This Row],[Wert 
(Zahl)]]*Wärme[[#This Row],[EF Scope 1 SF6
(kg SF6/Einheit)]],"")</f>
        <v/>
      </c>
      <c r="AU39" s="15" t="str">
        <f>IFERROR(Wärme[[#This Row],[Wert 
(Zahl)]]*Wärme[[#This Row],[EF Scope 1 NF3
(kg NF3/Einheit)]],"")</f>
        <v/>
      </c>
      <c r="AV39" s="15" t="str">
        <f>IFERROR(Wärme[[#This Row],[Wert 
(Zahl)]]*Wärme[[#This Row],[EF Scope 1 Nicht-Kyoto-Gase (kg Nicht-Kyoto-Gase/Einheit)]],"")</f>
        <v/>
      </c>
      <c r="AW39" s="15" t="str">
        <f>IFERROR(Wärme[[#This Row],[Wert 
(Zahl)]]*Wärme[[#This Row],[EF Scope 2 CO2
(kg CO2/Einheit)]],"")</f>
        <v/>
      </c>
      <c r="AX39" s="15" t="str">
        <f>IFERROR(Wärme[[#This Row],[Wert 
(Zahl)]]*Wärme[[#This Row],[EF Scope 2 CH4
(kg CH4/Einheit)]],"")</f>
        <v/>
      </c>
      <c r="AY39" s="15" t="str">
        <f>IFERROR(Wärme[[#This Row],[Wert 
(Zahl)]]*Wärme[[#This Row],[EF Scope 2 N2O
(kg N2O/Einheit)]],"")</f>
        <v/>
      </c>
      <c r="AZ39" s="15" t="str">
        <f>IFERROR(Wärme[[#This Row],[Wert 
(Zahl)]]*Wärme[[#This Row],[EF Scope 2 HFCs
(kg HFCs/Einheit)]],"")</f>
        <v/>
      </c>
      <c r="BA39" s="15" t="str">
        <f>IFERROR(Wärme[[#This Row],[Wert 
(Zahl)]]*Wärme[[#This Row],[EF Scope 2 PFCs
(kg PFCs/Einheit)]],"")</f>
        <v/>
      </c>
      <c r="BB39" s="15" t="str">
        <f>IFERROR(Wärme[[#This Row],[Wert 
(Zahl)]]*Wärme[[#This Row],[EF Scope 2 SF6
(kg SF6/Einheit)]],"")</f>
        <v/>
      </c>
      <c r="BC39" s="15" t="str">
        <f>IFERROR(Wärme[[#This Row],[Wert 
(Zahl)]]*Wärme[[#This Row],[EF Scope 2 NF3
(kg NF3/Einheit)]],"")</f>
        <v/>
      </c>
      <c r="BD39" s="15" t="str">
        <f>IFERROR(Wärme[[#This Row],[Wert 
(Zahl)]]*Wärme[[#This Row],[EF Scope 2 Nicht-Kyoto-Gase (kg Nicht-Kyoto-Gase/Einheit)]],"")</f>
        <v/>
      </c>
      <c r="BE39" s="15" t="str">
        <f>IF(ISBLANK(Wärme[[#This Row],[Wert 
(Zahl)]]),"",IFERROR(Wärme[[#This Row],[Scope 1 CO2 '[kg CO2']]]*IFERROR(VLOOKUP("CO2",GWP_100[],3,FALSE),0),0))</f>
        <v/>
      </c>
      <c r="BF39" s="15" t="str">
        <f>IF(ISBLANK(Wärme[[#This Row],[Wert 
(Zahl)]]),"",IFERROR(Wärme[[#This Row],[Scope 1 CH4 '[kg CH4']]]*IFERROR(VLOOKUP("CH4",GWP_100[],4,FALSE),0),0))</f>
        <v/>
      </c>
      <c r="BG39" s="15" t="str">
        <f>IF(ISBLANK(Wärme[[#This Row],[Wert 
(Zahl)]]),"",IFERROR(Wärme[[#This Row],[Scope 1 N2O '[kg N2O']]]*IFERROR(VLOOKUP("N2O",GWP_100[],5,FALSE),0),0))</f>
        <v/>
      </c>
      <c r="BH39" s="15" t="str">
        <f>IF(ISBLANK(Wärme[[#This Row],[Wert 
(Zahl)]]),"",IFERROR(Wärme[[#This Row],[Scope 1 HFCs '[kg HFCs']]]*IFERROR(VLOOKUP(Wärme[[#This Row],[Emissionsquelle/Aktivität (Dropdown)]],GWP_100[],6,FALSE),0),0))</f>
        <v/>
      </c>
      <c r="BI39" s="15" t="str">
        <f>IF(ISBLANK(Wärme[[#This Row],[Wert 
(Zahl)]]),"",IFERROR(Wärme[[#This Row],[Scope 1 PFCs '[kg PFCs']]]*IFERROR(VLOOKUP(Wärme[[#This Row],[Emissionsquelle/Aktivität (Dropdown)]],GWP_100[],7,FALSE),0),0))</f>
        <v/>
      </c>
      <c r="BJ39" s="15" t="str">
        <f>IF(ISBLANK(Wärme[[#This Row],[Wert 
(Zahl)]]),"",IFERROR(Wärme[[#This Row],[Scope 1 SF6 '[kg SF6']]]*IFERROR(VLOOKUP("SF6",GWP_100[],8,FALSE),0),0))</f>
        <v/>
      </c>
      <c r="BK39" s="15" t="str">
        <f>IF(ISBLANK(Wärme[[#This Row],[Wert 
(Zahl)]]),"",IFERROR(Wärme[[#This Row],[Scope 1 NF3 '[kg NF3']]]*IFERROR(VLOOKUP("NF3",GWP_100[],9,FALSE),0),0))</f>
        <v/>
      </c>
      <c r="BL39" s="15" t="str">
        <f>IF(ISBLANK(Wärme[[#This Row],[Wert 
(Zahl)]]),"",IFERROR(Wärme[[#This Row],[Scope 1 non-Kyoto '[kg non-Kyoto gas']]]*IFERROR(VLOOKUP(Wärme[[#This Row],[Emissionsquelle/Aktivität (Dropdown)]],GWP_100[],10,FALSE),0),0))</f>
        <v/>
      </c>
      <c r="BM39" s="15" t="str">
        <f>IF(ISBLANK(Wärme[[#This Row],[Wert 
(Zahl)]]),"",IFERROR(Wärme[[#This Row],[Scope 2 CO2 '[kg CO2']]]*IFERROR(VLOOKUP("CO2",GWP_100[],3,FALSE),0),0))</f>
        <v/>
      </c>
      <c r="BN39" s="15" t="str">
        <f>IF(ISBLANK(Wärme[[#This Row],[Wert 
(Zahl)]]),"",IFERROR(Wärme[[#This Row],[Scope 2 CH4 '[kg CH4']]]*IFERROR(VLOOKUP("CH4",GWP_100[],4,FALSE),0),0))</f>
        <v/>
      </c>
      <c r="BO39" s="15" t="str">
        <f>IF(ISBLANK(Wärme[[#This Row],[Wert 
(Zahl)]]),"",IFERROR(Wärme[[#This Row],[Scope 2 N2O '[kg N2O']]]*IFERROR(VLOOKUP("N2O",GWP_100[],5,FALSE),0),0))</f>
        <v/>
      </c>
      <c r="BP39" s="15" t="str">
        <f>IF(ISBLANK(Wärme[[#This Row],[Wert 
(Zahl)]]),"",IFERROR(Wärme[[#This Row],[Scope 2 HFCs '[kg HFCs']]]*IFERROR(VLOOKUP(Wärme[[#This Row],[Emissionsquelle/Aktivität (Dropdown)]],GWP_100[],6,FALSE),0),0))</f>
        <v/>
      </c>
      <c r="BQ39" s="15" t="str">
        <f>IF(ISBLANK(Wärme[[#This Row],[Wert 
(Zahl)]]),"",IFERROR(Wärme[[#This Row],[Scope 2 PFCs '[kg PFCs']]]*IFERROR(VLOOKUP(Wärme[[#This Row],[Emissionsquelle/Aktivität (Dropdown)]],GWP_100[],7,FALSE),0),0))</f>
        <v/>
      </c>
      <c r="BR39" s="15" t="str">
        <f>IF(ISBLANK(Wärme[[#This Row],[Wert 
(Zahl)]]),"",IFERROR(Wärme[[#This Row],[Scope 2 SF6 '[kg SF6']]]*IFERROR(VLOOKUP("SF6",GWP_100[],8,FALSE),0),0))</f>
        <v/>
      </c>
      <c r="BS39" s="15" t="str">
        <f>IF(ISBLANK(Wärme[[#This Row],[Wert 
(Zahl)]]),"",IFERROR(Wärme[[#This Row],[Scope 2 NF3 '[kg NF3']]]*IFERROR(VLOOKUP("NF3",GWP_100[],9,FALSE),0),0))</f>
        <v/>
      </c>
      <c r="BT39" s="15" t="str">
        <f>IF(ISBLANK(Wärme[[#This Row],[Wert 
(Zahl)]]),"",IFERROR(Wärme[[#This Row],[Scope 2 non-Kyoto '[kg non-Kyoto gas']]]*IFERROR(VLOOKUP(Wärme[[#This Row],[Emissionsquelle/Aktivität (Dropdown)]],GWP_100[],10,FALSE),0),0))</f>
        <v/>
      </c>
    </row>
    <row r="40" spans="2:72" s="89" customFormat="1" x14ac:dyDescent="0.35">
      <c r="B40" s="604"/>
      <c r="C40" s="10" t="str">
        <f t="shared" si="0"/>
        <v>Wärme</v>
      </c>
      <c r="D40" s="90"/>
      <c r="E40" s="90"/>
      <c r="F40" s="288"/>
      <c r="G40" s="10" t="str">
        <f>IFERROR(VLOOKUP(Wärme[[#This Row],[Thema_Bezeichung]],EFs_Wärme[],4,FALSE),"")</f>
        <v/>
      </c>
      <c r="H40" s="90"/>
      <c r="I40" s="90"/>
      <c r="J40" s="90"/>
      <c r="K40" s="90"/>
      <c r="L40" s="284" t="str">
        <f>IF(ISBLANK(Wärme[[#This Row],[Wert 
(Zahl)]]),"", SUM(Wärme[[#This Row],[Scope 1 CO2e '[kg CO2e']]:[Scope 3 CO2e '[kg CO2e']]]))</f>
        <v/>
      </c>
      <c r="M40" s="158"/>
      <c r="N40" s="158"/>
      <c r="O40" s="15" t="str">
        <f>IF(ISBLANK(Wärme[[#This Row],[Emissionsquelle/Aktivität (Dropdown)]]),"",CONCATENATE(Wärme[[#This Row],[Sektor_Thema]]," - ",Wärme[[#This Row],[Emissionsquelle/Aktivität (Dropdown)]]))</f>
        <v/>
      </c>
      <c r="P40" s="15" t="str">
        <f>IF(ISBLANK(Wärme[[#This Row],[Emissionsquelle/Aktivität (Dropdown)]]),"",AND(Wärme[[#This Row],[Emissionsquelle/Aktivität (Dropdown)]]="Fernwärme (Wert Energieversorger)",ISNUMBER(Wärme[[#This Row],[Fernwärme Eigenfaktor Scope 2
'[g CO2e/kWh']
(falls zutreffend)]])))</f>
        <v/>
      </c>
      <c r="Q40" s="15" t="str">
        <f>IFERROR(VLOOKUP(Wärme[[#This Row],[Thema_Bezeichung]],EFs_Wärme[],5,FALSE),"")</f>
        <v/>
      </c>
      <c r="R40" s="15" t="str">
        <f>IFERROR(VLOOKUP(Wärme[[#This Row],[Thema_Bezeichung]],EFs_Wärme[],6,FALSE),"")</f>
        <v/>
      </c>
      <c r="S40" s="15" t="str">
        <f>IFERROR(VLOOKUP(Wärme[[#This Row],[Thema_Bezeichung]],EFs_Wärme[],7,FALSE),"")</f>
        <v/>
      </c>
      <c r="T40" s="15" t="str">
        <f>IFERROR(VLOOKUP(Wärme[[#This Row],[Thema_Bezeichung]],EFs_Wärme[],8,FALSE),"")</f>
        <v/>
      </c>
      <c r="U40" s="15" t="str">
        <f>IFERROR(VLOOKUP(Wärme[[#This Row],[Thema_Bezeichung]],EFs_Wärme[],9,FALSE),"")</f>
        <v/>
      </c>
      <c r="V40" s="15" t="str">
        <f>IFERROR(VLOOKUP(Wärme[[#This Row],[Thema_Bezeichung]],EFs_Wärme[],10,FALSE),"")</f>
        <v/>
      </c>
      <c r="W40" s="15" t="str">
        <f>IFERROR(VLOOKUP(Wärme[[#This Row],[Thema_Bezeichung]],EFs_Wärme[],11,FALSE),"")</f>
        <v/>
      </c>
      <c r="X40" s="15" t="str">
        <f>IFERROR(VLOOKUP(Wärme[[#This Row],[Thema_Bezeichung]],EFs_Wärme[],12,FALSE),"")</f>
        <v/>
      </c>
      <c r="Y40" s="15" t="str">
        <f>IFERROR(VLOOKUP(Wärme[[#This Row],[Thema_Bezeichung]],EFs_Wärme[],13,FALSE),"")</f>
        <v/>
      </c>
      <c r="Z40" s="15" t="str">
        <f>IFERROR(VLOOKUP(Wärme[[#This Row],[Thema_Bezeichung]],EFs_Wärme[],14,FALSE),"")</f>
        <v/>
      </c>
      <c r="AA40" s="15" t="str">
        <f>IF(Wärme[[#This Row],[Fernwärme - Eigenfaktor angegeben?]]=TRUE,Wärme[[#This Row],[Fernwärme Eigenfaktor Scope 2
'[g CO2e/kWh']
(falls zutreffend)]]/1000,IFERROR(VLOOKUP(Wärme[[#This Row],[Thema_Bezeichung]],EFs_Wärme[],15,FALSE),""))</f>
        <v/>
      </c>
      <c r="AB40" s="15" t="str">
        <f>IFERROR(VLOOKUP(Wärme[[#This Row],[Thema_Bezeichung]],EFs_Wärme[],16,FALSE),"")</f>
        <v/>
      </c>
      <c r="AC40" s="15" t="str">
        <f>IFERROR(VLOOKUP(Wärme[[#This Row],[Thema_Bezeichung]],EFs_Wärme[],17,FALSE),"")</f>
        <v/>
      </c>
      <c r="AD40" s="15" t="str">
        <f>IFERROR(VLOOKUP(Wärme[[#This Row],[Thema_Bezeichung]],EFs_Wärme[],18,FALSE),"")</f>
        <v/>
      </c>
      <c r="AE40" s="15" t="str">
        <f>IFERROR(VLOOKUP(Wärme[[#This Row],[Thema_Bezeichung]],EFs_Wärme[],19,FALSE),"")</f>
        <v/>
      </c>
      <c r="AF40" s="15" t="str">
        <f>IFERROR(VLOOKUP(Wärme[[#This Row],[Thema_Bezeichung]],EFs_Wärme[],20,FALSE),"")</f>
        <v/>
      </c>
      <c r="AG40" s="15" t="str">
        <f>IFERROR(VLOOKUP(Wärme[[#This Row],[Thema_Bezeichung]],EFs_Wärme[],21,FALSE),"")</f>
        <v/>
      </c>
      <c r="AH40" s="15" t="str">
        <f>IFERROR(VLOOKUP(Wärme[[#This Row],[Thema_Bezeichung]],EFs_Wärme[],22,FALSE),"")</f>
        <v/>
      </c>
      <c r="AI40" s="15" t="str">
        <f>IFERROR(VLOOKUP(Wärme[[#This Row],[Thema_Bezeichung]],EFs_Wärme[],23,FALSE),"")</f>
        <v/>
      </c>
      <c r="AJ40" s="15" t="str">
        <f>IFERROR(VLOOKUP(Wärme[[#This Row],[Thema_Bezeichung]],EFs_Wärme[],24,FALSE),"")</f>
        <v/>
      </c>
      <c r="AK40" s="15" t="str">
        <f>IFERROR(Wärme[[#This Row],[Wert 
(Zahl)]]*Wärme[[#This Row],[EF Scope 1 CO2e
(kg CO2e/Einheit)]],"")</f>
        <v/>
      </c>
      <c r="AL40" s="15" t="str">
        <f>IFERROR(Wärme[[#This Row],[Wert 
(Zahl)]]*Wärme[[#This Row],[EF Scope 2 CO2e
(kg CO2e/Einheit)]],"")</f>
        <v/>
      </c>
      <c r="AM40" s="15" t="str">
        <f>IFERROR(Wärme[[#This Row],[Wert 
(Zahl)]]*Wärme[[#This Row],[EF Scope 3 CO2e
(kg CO2e/Einheit)]],"")</f>
        <v/>
      </c>
      <c r="AN40" s="15" t="str">
        <f>IFERROR(Wärme[[#This Row],[Wert 
(Zahl)]]*Wärme[[#This Row],[EF Scope 1 CO2 biogen
(kg CO2 /Einheit)]],"")</f>
        <v/>
      </c>
      <c r="AO40" s="15" t="str">
        <f>IFERROR(Wärme[[#This Row],[Wert 
(Zahl)]]*Wärme[[#This Row],[EF Scope 1 CO2
(kg CO2/Einheit)]],"")</f>
        <v/>
      </c>
      <c r="AP40" s="15" t="str">
        <f>IFERROR(Wärme[[#This Row],[Wert 
(Zahl)]]*Wärme[[#This Row],[EF Scope 1 CH4
(kg CH4/Einheit)]],"")</f>
        <v/>
      </c>
      <c r="AQ40" s="15" t="str">
        <f>IFERROR(Wärme[[#This Row],[Wert 
(Zahl)]]*Wärme[[#This Row],[EF Scope 1 N2O
(kg N2O/Einheit)]],"")</f>
        <v/>
      </c>
      <c r="AR40" s="15" t="str">
        <f>IFERROR(Wärme[[#This Row],[Wert 
(Zahl)]]*Wärme[[#This Row],[EF Scope 1 HFCs
(kg HFCs/Einheit)]],"")</f>
        <v/>
      </c>
      <c r="AS40" s="15" t="str">
        <f>IFERROR(Wärme[[#This Row],[Wert 
(Zahl)]]*Wärme[[#This Row],[EF Scope 1 PFCs
(kg PFCs/Einheit)]],"")</f>
        <v/>
      </c>
      <c r="AT40" s="15" t="str">
        <f>IFERROR(Wärme[[#This Row],[Wert 
(Zahl)]]*Wärme[[#This Row],[EF Scope 1 SF6
(kg SF6/Einheit)]],"")</f>
        <v/>
      </c>
      <c r="AU40" s="15" t="str">
        <f>IFERROR(Wärme[[#This Row],[Wert 
(Zahl)]]*Wärme[[#This Row],[EF Scope 1 NF3
(kg NF3/Einheit)]],"")</f>
        <v/>
      </c>
      <c r="AV40" s="15" t="str">
        <f>IFERROR(Wärme[[#This Row],[Wert 
(Zahl)]]*Wärme[[#This Row],[EF Scope 1 Nicht-Kyoto-Gase (kg Nicht-Kyoto-Gase/Einheit)]],"")</f>
        <v/>
      </c>
      <c r="AW40" s="15" t="str">
        <f>IFERROR(Wärme[[#This Row],[Wert 
(Zahl)]]*Wärme[[#This Row],[EF Scope 2 CO2
(kg CO2/Einheit)]],"")</f>
        <v/>
      </c>
      <c r="AX40" s="15" t="str">
        <f>IFERROR(Wärme[[#This Row],[Wert 
(Zahl)]]*Wärme[[#This Row],[EF Scope 2 CH4
(kg CH4/Einheit)]],"")</f>
        <v/>
      </c>
      <c r="AY40" s="15" t="str">
        <f>IFERROR(Wärme[[#This Row],[Wert 
(Zahl)]]*Wärme[[#This Row],[EF Scope 2 N2O
(kg N2O/Einheit)]],"")</f>
        <v/>
      </c>
      <c r="AZ40" s="15" t="str">
        <f>IFERROR(Wärme[[#This Row],[Wert 
(Zahl)]]*Wärme[[#This Row],[EF Scope 2 HFCs
(kg HFCs/Einheit)]],"")</f>
        <v/>
      </c>
      <c r="BA40" s="15" t="str">
        <f>IFERROR(Wärme[[#This Row],[Wert 
(Zahl)]]*Wärme[[#This Row],[EF Scope 2 PFCs
(kg PFCs/Einheit)]],"")</f>
        <v/>
      </c>
      <c r="BB40" s="15" t="str">
        <f>IFERROR(Wärme[[#This Row],[Wert 
(Zahl)]]*Wärme[[#This Row],[EF Scope 2 SF6
(kg SF6/Einheit)]],"")</f>
        <v/>
      </c>
      <c r="BC40" s="15" t="str">
        <f>IFERROR(Wärme[[#This Row],[Wert 
(Zahl)]]*Wärme[[#This Row],[EF Scope 2 NF3
(kg NF3/Einheit)]],"")</f>
        <v/>
      </c>
      <c r="BD40" s="15" t="str">
        <f>IFERROR(Wärme[[#This Row],[Wert 
(Zahl)]]*Wärme[[#This Row],[EF Scope 2 Nicht-Kyoto-Gase (kg Nicht-Kyoto-Gase/Einheit)]],"")</f>
        <v/>
      </c>
      <c r="BE40" s="15" t="str">
        <f>IF(ISBLANK(Wärme[[#This Row],[Wert 
(Zahl)]]),"",IFERROR(Wärme[[#This Row],[Scope 1 CO2 '[kg CO2']]]*IFERROR(VLOOKUP("CO2",GWP_100[],3,FALSE),0),0))</f>
        <v/>
      </c>
      <c r="BF40" s="15" t="str">
        <f>IF(ISBLANK(Wärme[[#This Row],[Wert 
(Zahl)]]),"",IFERROR(Wärme[[#This Row],[Scope 1 CH4 '[kg CH4']]]*IFERROR(VLOOKUP("CH4",GWP_100[],4,FALSE),0),0))</f>
        <v/>
      </c>
      <c r="BG40" s="15" t="str">
        <f>IF(ISBLANK(Wärme[[#This Row],[Wert 
(Zahl)]]),"",IFERROR(Wärme[[#This Row],[Scope 1 N2O '[kg N2O']]]*IFERROR(VLOOKUP("N2O",GWP_100[],5,FALSE),0),0))</f>
        <v/>
      </c>
      <c r="BH40" s="15" t="str">
        <f>IF(ISBLANK(Wärme[[#This Row],[Wert 
(Zahl)]]),"",IFERROR(Wärme[[#This Row],[Scope 1 HFCs '[kg HFCs']]]*IFERROR(VLOOKUP(Wärme[[#This Row],[Emissionsquelle/Aktivität (Dropdown)]],GWP_100[],6,FALSE),0),0))</f>
        <v/>
      </c>
      <c r="BI40" s="15" t="str">
        <f>IF(ISBLANK(Wärme[[#This Row],[Wert 
(Zahl)]]),"",IFERROR(Wärme[[#This Row],[Scope 1 PFCs '[kg PFCs']]]*IFERROR(VLOOKUP(Wärme[[#This Row],[Emissionsquelle/Aktivität (Dropdown)]],GWP_100[],7,FALSE),0),0))</f>
        <v/>
      </c>
      <c r="BJ40" s="15" t="str">
        <f>IF(ISBLANK(Wärme[[#This Row],[Wert 
(Zahl)]]),"",IFERROR(Wärme[[#This Row],[Scope 1 SF6 '[kg SF6']]]*IFERROR(VLOOKUP("SF6",GWP_100[],8,FALSE),0),0))</f>
        <v/>
      </c>
      <c r="BK40" s="15" t="str">
        <f>IF(ISBLANK(Wärme[[#This Row],[Wert 
(Zahl)]]),"",IFERROR(Wärme[[#This Row],[Scope 1 NF3 '[kg NF3']]]*IFERROR(VLOOKUP("NF3",GWP_100[],9,FALSE),0),0))</f>
        <v/>
      </c>
      <c r="BL40" s="15" t="str">
        <f>IF(ISBLANK(Wärme[[#This Row],[Wert 
(Zahl)]]),"",IFERROR(Wärme[[#This Row],[Scope 1 non-Kyoto '[kg non-Kyoto gas']]]*IFERROR(VLOOKUP(Wärme[[#This Row],[Emissionsquelle/Aktivität (Dropdown)]],GWP_100[],10,FALSE),0),0))</f>
        <v/>
      </c>
      <c r="BM40" s="15" t="str">
        <f>IF(ISBLANK(Wärme[[#This Row],[Wert 
(Zahl)]]),"",IFERROR(Wärme[[#This Row],[Scope 2 CO2 '[kg CO2']]]*IFERROR(VLOOKUP("CO2",GWP_100[],3,FALSE),0),0))</f>
        <v/>
      </c>
      <c r="BN40" s="15" t="str">
        <f>IF(ISBLANK(Wärme[[#This Row],[Wert 
(Zahl)]]),"",IFERROR(Wärme[[#This Row],[Scope 2 CH4 '[kg CH4']]]*IFERROR(VLOOKUP("CH4",GWP_100[],4,FALSE),0),0))</f>
        <v/>
      </c>
      <c r="BO40" s="15" t="str">
        <f>IF(ISBLANK(Wärme[[#This Row],[Wert 
(Zahl)]]),"",IFERROR(Wärme[[#This Row],[Scope 2 N2O '[kg N2O']]]*IFERROR(VLOOKUP("N2O",GWP_100[],5,FALSE),0),0))</f>
        <v/>
      </c>
      <c r="BP40" s="15" t="str">
        <f>IF(ISBLANK(Wärme[[#This Row],[Wert 
(Zahl)]]),"",IFERROR(Wärme[[#This Row],[Scope 2 HFCs '[kg HFCs']]]*IFERROR(VLOOKUP(Wärme[[#This Row],[Emissionsquelle/Aktivität (Dropdown)]],GWP_100[],6,FALSE),0),0))</f>
        <v/>
      </c>
      <c r="BQ40" s="15" t="str">
        <f>IF(ISBLANK(Wärme[[#This Row],[Wert 
(Zahl)]]),"",IFERROR(Wärme[[#This Row],[Scope 2 PFCs '[kg PFCs']]]*IFERROR(VLOOKUP(Wärme[[#This Row],[Emissionsquelle/Aktivität (Dropdown)]],GWP_100[],7,FALSE),0),0))</f>
        <v/>
      </c>
      <c r="BR40" s="15" t="str">
        <f>IF(ISBLANK(Wärme[[#This Row],[Wert 
(Zahl)]]),"",IFERROR(Wärme[[#This Row],[Scope 2 SF6 '[kg SF6']]]*IFERROR(VLOOKUP("SF6",GWP_100[],8,FALSE),0),0))</f>
        <v/>
      </c>
      <c r="BS40" s="15" t="str">
        <f>IF(ISBLANK(Wärme[[#This Row],[Wert 
(Zahl)]]),"",IFERROR(Wärme[[#This Row],[Scope 2 NF3 '[kg NF3']]]*IFERROR(VLOOKUP("NF3",GWP_100[],9,FALSE),0),0))</f>
        <v/>
      </c>
      <c r="BT40" s="15" t="str">
        <f>IF(ISBLANK(Wärme[[#This Row],[Wert 
(Zahl)]]),"",IFERROR(Wärme[[#This Row],[Scope 2 non-Kyoto '[kg non-Kyoto gas']]]*IFERROR(VLOOKUP(Wärme[[#This Row],[Emissionsquelle/Aktivität (Dropdown)]],GWP_100[],10,FALSE),0),0))</f>
        <v/>
      </c>
    </row>
    <row r="41" spans="2:72" s="89" customFormat="1" x14ac:dyDescent="0.35">
      <c r="B41" s="604"/>
      <c r="C41" s="10" t="str">
        <f t="shared" si="0"/>
        <v>Wärme</v>
      </c>
      <c r="D41" s="90"/>
      <c r="E41" s="90"/>
      <c r="F41" s="288"/>
      <c r="G41" s="10" t="str">
        <f>IFERROR(VLOOKUP(Wärme[[#This Row],[Thema_Bezeichung]],EFs_Wärme[],4,FALSE),"")</f>
        <v/>
      </c>
      <c r="H41" s="90"/>
      <c r="I41" s="90"/>
      <c r="J41" s="90"/>
      <c r="K41" s="90"/>
      <c r="L41" s="284" t="str">
        <f>IF(ISBLANK(Wärme[[#This Row],[Wert 
(Zahl)]]),"", SUM(Wärme[[#This Row],[Scope 1 CO2e '[kg CO2e']]:[Scope 3 CO2e '[kg CO2e']]]))</f>
        <v/>
      </c>
      <c r="M41" s="158"/>
      <c r="N41" s="158"/>
      <c r="O41" s="15" t="str">
        <f>IF(ISBLANK(Wärme[[#This Row],[Emissionsquelle/Aktivität (Dropdown)]]),"",CONCATENATE(Wärme[[#This Row],[Sektor_Thema]]," - ",Wärme[[#This Row],[Emissionsquelle/Aktivität (Dropdown)]]))</f>
        <v/>
      </c>
      <c r="P41" s="15" t="str">
        <f>IF(ISBLANK(Wärme[[#This Row],[Emissionsquelle/Aktivität (Dropdown)]]),"",AND(Wärme[[#This Row],[Emissionsquelle/Aktivität (Dropdown)]]="Fernwärme (Wert Energieversorger)",ISNUMBER(Wärme[[#This Row],[Fernwärme Eigenfaktor Scope 2
'[g CO2e/kWh']
(falls zutreffend)]])))</f>
        <v/>
      </c>
      <c r="Q41" s="15" t="str">
        <f>IFERROR(VLOOKUP(Wärme[[#This Row],[Thema_Bezeichung]],EFs_Wärme[],5,FALSE),"")</f>
        <v/>
      </c>
      <c r="R41" s="15" t="str">
        <f>IFERROR(VLOOKUP(Wärme[[#This Row],[Thema_Bezeichung]],EFs_Wärme[],6,FALSE),"")</f>
        <v/>
      </c>
      <c r="S41" s="15" t="str">
        <f>IFERROR(VLOOKUP(Wärme[[#This Row],[Thema_Bezeichung]],EFs_Wärme[],7,FALSE),"")</f>
        <v/>
      </c>
      <c r="T41" s="15" t="str">
        <f>IFERROR(VLOOKUP(Wärme[[#This Row],[Thema_Bezeichung]],EFs_Wärme[],8,FALSE),"")</f>
        <v/>
      </c>
      <c r="U41" s="15" t="str">
        <f>IFERROR(VLOOKUP(Wärme[[#This Row],[Thema_Bezeichung]],EFs_Wärme[],9,FALSE),"")</f>
        <v/>
      </c>
      <c r="V41" s="15" t="str">
        <f>IFERROR(VLOOKUP(Wärme[[#This Row],[Thema_Bezeichung]],EFs_Wärme[],10,FALSE),"")</f>
        <v/>
      </c>
      <c r="W41" s="15" t="str">
        <f>IFERROR(VLOOKUP(Wärme[[#This Row],[Thema_Bezeichung]],EFs_Wärme[],11,FALSE),"")</f>
        <v/>
      </c>
      <c r="X41" s="15" t="str">
        <f>IFERROR(VLOOKUP(Wärme[[#This Row],[Thema_Bezeichung]],EFs_Wärme[],12,FALSE),"")</f>
        <v/>
      </c>
      <c r="Y41" s="15" t="str">
        <f>IFERROR(VLOOKUP(Wärme[[#This Row],[Thema_Bezeichung]],EFs_Wärme[],13,FALSE),"")</f>
        <v/>
      </c>
      <c r="Z41" s="15" t="str">
        <f>IFERROR(VLOOKUP(Wärme[[#This Row],[Thema_Bezeichung]],EFs_Wärme[],14,FALSE),"")</f>
        <v/>
      </c>
      <c r="AA41" s="15" t="str">
        <f>IF(Wärme[[#This Row],[Fernwärme - Eigenfaktor angegeben?]]=TRUE,Wärme[[#This Row],[Fernwärme Eigenfaktor Scope 2
'[g CO2e/kWh']
(falls zutreffend)]]/1000,IFERROR(VLOOKUP(Wärme[[#This Row],[Thema_Bezeichung]],EFs_Wärme[],15,FALSE),""))</f>
        <v/>
      </c>
      <c r="AB41" s="15" t="str">
        <f>IFERROR(VLOOKUP(Wärme[[#This Row],[Thema_Bezeichung]],EFs_Wärme[],16,FALSE),"")</f>
        <v/>
      </c>
      <c r="AC41" s="15" t="str">
        <f>IFERROR(VLOOKUP(Wärme[[#This Row],[Thema_Bezeichung]],EFs_Wärme[],17,FALSE),"")</f>
        <v/>
      </c>
      <c r="AD41" s="15" t="str">
        <f>IFERROR(VLOOKUP(Wärme[[#This Row],[Thema_Bezeichung]],EFs_Wärme[],18,FALSE),"")</f>
        <v/>
      </c>
      <c r="AE41" s="15" t="str">
        <f>IFERROR(VLOOKUP(Wärme[[#This Row],[Thema_Bezeichung]],EFs_Wärme[],19,FALSE),"")</f>
        <v/>
      </c>
      <c r="AF41" s="15" t="str">
        <f>IFERROR(VLOOKUP(Wärme[[#This Row],[Thema_Bezeichung]],EFs_Wärme[],20,FALSE),"")</f>
        <v/>
      </c>
      <c r="AG41" s="15" t="str">
        <f>IFERROR(VLOOKUP(Wärme[[#This Row],[Thema_Bezeichung]],EFs_Wärme[],21,FALSE),"")</f>
        <v/>
      </c>
      <c r="AH41" s="15" t="str">
        <f>IFERROR(VLOOKUP(Wärme[[#This Row],[Thema_Bezeichung]],EFs_Wärme[],22,FALSE),"")</f>
        <v/>
      </c>
      <c r="AI41" s="15" t="str">
        <f>IFERROR(VLOOKUP(Wärme[[#This Row],[Thema_Bezeichung]],EFs_Wärme[],23,FALSE),"")</f>
        <v/>
      </c>
      <c r="AJ41" s="15" t="str">
        <f>IFERROR(VLOOKUP(Wärme[[#This Row],[Thema_Bezeichung]],EFs_Wärme[],24,FALSE),"")</f>
        <v/>
      </c>
      <c r="AK41" s="15" t="str">
        <f>IFERROR(Wärme[[#This Row],[Wert 
(Zahl)]]*Wärme[[#This Row],[EF Scope 1 CO2e
(kg CO2e/Einheit)]],"")</f>
        <v/>
      </c>
      <c r="AL41" s="15" t="str">
        <f>IFERROR(Wärme[[#This Row],[Wert 
(Zahl)]]*Wärme[[#This Row],[EF Scope 2 CO2e
(kg CO2e/Einheit)]],"")</f>
        <v/>
      </c>
      <c r="AM41" s="15" t="str">
        <f>IFERROR(Wärme[[#This Row],[Wert 
(Zahl)]]*Wärme[[#This Row],[EF Scope 3 CO2e
(kg CO2e/Einheit)]],"")</f>
        <v/>
      </c>
      <c r="AN41" s="15" t="str">
        <f>IFERROR(Wärme[[#This Row],[Wert 
(Zahl)]]*Wärme[[#This Row],[EF Scope 1 CO2 biogen
(kg CO2 /Einheit)]],"")</f>
        <v/>
      </c>
      <c r="AO41" s="15" t="str">
        <f>IFERROR(Wärme[[#This Row],[Wert 
(Zahl)]]*Wärme[[#This Row],[EF Scope 1 CO2
(kg CO2/Einheit)]],"")</f>
        <v/>
      </c>
      <c r="AP41" s="15" t="str">
        <f>IFERROR(Wärme[[#This Row],[Wert 
(Zahl)]]*Wärme[[#This Row],[EF Scope 1 CH4
(kg CH4/Einheit)]],"")</f>
        <v/>
      </c>
      <c r="AQ41" s="15" t="str">
        <f>IFERROR(Wärme[[#This Row],[Wert 
(Zahl)]]*Wärme[[#This Row],[EF Scope 1 N2O
(kg N2O/Einheit)]],"")</f>
        <v/>
      </c>
      <c r="AR41" s="15" t="str">
        <f>IFERROR(Wärme[[#This Row],[Wert 
(Zahl)]]*Wärme[[#This Row],[EF Scope 1 HFCs
(kg HFCs/Einheit)]],"")</f>
        <v/>
      </c>
      <c r="AS41" s="15" t="str">
        <f>IFERROR(Wärme[[#This Row],[Wert 
(Zahl)]]*Wärme[[#This Row],[EF Scope 1 PFCs
(kg PFCs/Einheit)]],"")</f>
        <v/>
      </c>
      <c r="AT41" s="15" t="str">
        <f>IFERROR(Wärme[[#This Row],[Wert 
(Zahl)]]*Wärme[[#This Row],[EF Scope 1 SF6
(kg SF6/Einheit)]],"")</f>
        <v/>
      </c>
      <c r="AU41" s="15" t="str">
        <f>IFERROR(Wärme[[#This Row],[Wert 
(Zahl)]]*Wärme[[#This Row],[EF Scope 1 NF3
(kg NF3/Einheit)]],"")</f>
        <v/>
      </c>
      <c r="AV41" s="15" t="str">
        <f>IFERROR(Wärme[[#This Row],[Wert 
(Zahl)]]*Wärme[[#This Row],[EF Scope 1 Nicht-Kyoto-Gase (kg Nicht-Kyoto-Gase/Einheit)]],"")</f>
        <v/>
      </c>
      <c r="AW41" s="15" t="str">
        <f>IFERROR(Wärme[[#This Row],[Wert 
(Zahl)]]*Wärme[[#This Row],[EF Scope 2 CO2
(kg CO2/Einheit)]],"")</f>
        <v/>
      </c>
      <c r="AX41" s="15" t="str">
        <f>IFERROR(Wärme[[#This Row],[Wert 
(Zahl)]]*Wärme[[#This Row],[EF Scope 2 CH4
(kg CH4/Einheit)]],"")</f>
        <v/>
      </c>
      <c r="AY41" s="15" t="str">
        <f>IFERROR(Wärme[[#This Row],[Wert 
(Zahl)]]*Wärme[[#This Row],[EF Scope 2 N2O
(kg N2O/Einheit)]],"")</f>
        <v/>
      </c>
      <c r="AZ41" s="15" t="str">
        <f>IFERROR(Wärme[[#This Row],[Wert 
(Zahl)]]*Wärme[[#This Row],[EF Scope 2 HFCs
(kg HFCs/Einheit)]],"")</f>
        <v/>
      </c>
      <c r="BA41" s="15" t="str">
        <f>IFERROR(Wärme[[#This Row],[Wert 
(Zahl)]]*Wärme[[#This Row],[EF Scope 2 PFCs
(kg PFCs/Einheit)]],"")</f>
        <v/>
      </c>
      <c r="BB41" s="15" t="str">
        <f>IFERROR(Wärme[[#This Row],[Wert 
(Zahl)]]*Wärme[[#This Row],[EF Scope 2 SF6
(kg SF6/Einheit)]],"")</f>
        <v/>
      </c>
      <c r="BC41" s="15" t="str">
        <f>IFERROR(Wärme[[#This Row],[Wert 
(Zahl)]]*Wärme[[#This Row],[EF Scope 2 NF3
(kg NF3/Einheit)]],"")</f>
        <v/>
      </c>
      <c r="BD41" s="15" t="str">
        <f>IFERROR(Wärme[[#This Row],[Wert 
(Zahl)]]*Wärme[[#This Row],[EF Scope 2 Nicht-Kyoto-Gase (kg Nicht-Kyoto-Gase/Einheit)]],"")</f>
        <v/>
      </c>
      <c r="BE41" s="15" t="str">
        <f>IF(ISBLANK(Wärme[[#This Row],[Wert 
(Zahl)]]),"",IFERROR(Wärme[[#This Row],[Scope 1 CO2 '[kg CO2']]]*IFERROR(VLOOKUP("CO2",GWP_100[],3,FALSE),0),0))</f>
        <v/>
      </c>
      <c r="BF41" s="15" t="str">
        <f>IF(ISBLANK(Wärme[[#This Row],[Wert 
(Zahl)]]),"",IFERROR(Wärme[[#This Row],[Scope 1 CH4 '[kg CH4']]]*IFERROR(VLOOKUP("CH4",GWP_100[],4,FALSE),0),0))</f>
        <v/>
      </c>
      <c r="BG41" s="15" t="str">
        <f>IF(ISBLANK(Wärme[[#This Row],[Wert 
(Zahl)]]),"",IFERROR(Wärme[[#This Row],[Scope 1 N2O '[kg N2O']]]*IFERROR(VLOOKUP("N2O",GWP_100[],5,FALSE),0),0))</f>
        <v/>
      </c>
      <c r="BH41" s="15" t="str">
        <f>IF(ISBLANK(Wärme[[#This Row],[Wert 
(Zahl)]]),"",IFERROR(Wärme[[#This Row],[Scope 1 HFCs '[kg HFCs']]]*IFERROR(VLOOKUP(Wärme[[#This Row],[Emissionsquelle/Aktivität (Dropdown)]],GWP_100[],6,FALSE),0),0))</f>
        <v/>
      </c>
      <c r="BI41" s="15" t="str">
        <f>IF(ISBLANK(Wärme[[#This Row],[Wert 
(Zahl)]]),"",IFERROR(Wärme[[#This Row],[Scope 1 PFCs '[kg PFCs']]]*IFERROR(VLOOKUP(Wärme[[#This Row],[Emissionsquelle/Aktivität (Dropdown)]],GWP_100[],7,FALSE),0),0))</f>
        <v/>
      </c>
      <c r="BJ41" s="15" t="str">
        <f>IF(ISBLANK(Wärme[[#This Row],[Wert 
(Zahl)]]),"",IFERROR(Wärme[[#This Row],[Scope 1 SF6 '[kg SF6']]]*IFERROR(VLOOKUP("SF6",GWP_100[],8,FALSE),0),0))</f>
        <v/>
      </c>
      <c r="BK41" s="15" t="str">
        <f>IF(ISBLANK(Wärme[[#This Row],[Wert 
(Zahl)]]),"",IFERROR(Wärme[[#This Row],[Scope 1 NF3 '[kg NF3']]]*IFERROR(VLOOKUP("NF3",GWP_100[],9,FALSE),0),0))</f>
        <v/>
      </c>
      <c r="BL41" s="15" t="str">
        <f>IF(ISBLANK(Wärme[[#This Row],[Wert 
(Zahl)]]),"",IFERROR(Wärme[[#This Row],[Scope 1 non-Kyoto '[kg non-Kyoto gas']]]*IFERROR(VLOOKUP(Wärme[[#This Row],[Emissionsquelle/Aktivität (Dropdown)]],GWP_100[],10,FALSE),0),0))</f>
        <v/>
      </c>
      <c r="BM41" s="15" t="str">
        <f>IF(ISBLANK(Wärme[[#This Row],[Wert 
(Zahl)]]),"",IFERROR(Wärme[[#This Row],[Scope 2 CO2 '[kg CO2']]]*IFERROR(VLOOKUP("CO2",GWP_100[],3,FALSE),0),0))</f>
        <v/>
      </c>
      <c r="BN41" s="15" t="str">
        <f>IF(ISBLANK(Wärme[[#This Row],[Wert 
(Zahl)]]),"",IFERROR(Wärme[[#This Row],[Scope 2 CH4 '[kg CH4']]]*IFERROR(VLOOKUP("CH4",GWP_100[],4,FALSE),0),0))</f>
        <v/>
      </c>
      <c r="BO41" s="15" t="str">
        <f>IF(ISBLANK(Wärme[[#This Row],[Wert 
(Zahl)]]),"",IFERROR(Wärme[[#This Row],[Scope 2 N2O '[kg N2O']]]*IFERROR(VLOOKUP("N2O",GWP_100[],5,FALSE),0),0))</f>
        <v/>
      </c>
      <c r="BP41" s="15" t="str">
        <f>IF(ISBLANK(Wärme[[#This Row],[Wert 
(Zahl)]]),"",IFERROR(Wärme[[#This Row],[Scope 2 HFCs '[kg HFCs']]]*IFERROR(VLOOKUP(Wärme[[#This Row],[Emissionsquelle/Aktivität (Dropdown)]],GWP_100[],6,FALSE),0),0))</f>
        <v/>
      </c>
      <c r="BQ41" s="15" t="str">
        <f>IF(ISBLANK(Wärme[[#This Row],[Wert 
(Zahl)]]),"",IFERROR(Wärme[[#This Row],[Scope 2 PFCs '[kg PFCs']]]*IFERROR(VLOOKUP(Wärme[[#This Row],[Emissionsquelle/Aktivität (Dropdown)]],GWP_100[],7,FALSE),0),0))</f>
        <v/>
      </c>
      <c r="BR41" s="15" t="str">
        <f>IF(ISBLANK(Wärme[[#This Row],[Wert 
(Zahl)]]),"",IFERROR(Wärme[[#This Row],[Scope 2 SF6 '[kg SF6']]]*IFERROR(VLOOKUP("SF6",GWP_100[],8,FALSE),0),0))</f>
        <v/>
      </c>
      <c r="BS41" s="15" t="str">
        <f>IF(ISBLANK(Wärme[[#This Row],[Wert 
(Zahl)]]),"",IFERROR(Wärme[[#This Row],[Scope 2 NF3 '[kg NF3']]]*IFERROR(VLOOKUP("NF3",GWP_100[],9,FALSE),0),0))</f>
        <v/>
      </c>
      <c r="BT41" s="15" t="str">
        <f>IF(ISBLANK(Wärme[[#This Row],[Wert 
(Zahl)]]),"",IFERROR(Wärme[[#This Row],[Scope 2 non-Kyoto '[kg non-Kyoto gas']]]*IFERROR(VLOOKUP(Wärme[[#This Row],[Emissionsquelle/Aktivität (Dropdown)]],GWP_100[],10,FALSE),0),0))</f>
        <v/>
      </c>
    </row>
    <row r="42" spans="2:72" s="89" customFormat="1" x14ac:dyDescent="0.35">
      <c r="B42" s="604"/>
      <c r="C42" s="10" t="str">
        <f t="shared" si="0"/>
        <v>Wärme</v>
      </c>
      <c r="D42" s="90"/>
      <c r="E42" s="90"/>
      <c r="F42" s="288"/>
      <c r="G42" s="10" t="str">
        <f>IFERROR(VLOOKUP(Wärme[[#This Row],[Thema_Bezeichung]],EFs_Wärme[],4,FALSE),"")</f>
        <v/>
      </c>
      <c r="H42" s="90"/>
      <c r="I42" s="90"/>
      <c r="J42" s="90"/>
      <c r="K42" s="90"/>
      <c r="L42" s="284" t="str">
        <f>IF(ISBLANK(Wärme[[#This Row],[Wert 
(Zahl)]]),"", SUM(Wärme[[#This Row],[Scope 1 CO2e '[kg CO2e']]:[Scope 3 CO2e '[kg CO2e']]]))</f>
        <v/>
      </c>
      <c r="M42" s="158"/>
      <c r="N42" s="158"/>
      <c r="O42" s="15" t="str">
        <f>IF(ISBLANK(Wärme[[#This Row],[Emissionsquelle/Aktivität (Dropdown)]]),"",CONCATENATE(Wärme[[#This Row],[Sektor_Thema]]," - ",Wärme[[#This Row],[Emissionsquelle/Aktivität (Dropdown)]]))</f>
        <v/>
      </c>
      <c r="P42" s="15" t="str">
        <f>IF(ISBLANK(Wärme[[#This Row],[Emissionsquelle/Aktivität (Dropdown)]]),"",AND(Wärme[[#This Row],[Emissionsquelle/Aktivität (Dropdown)]]="Fernwärme (Wert Energieversorger)",ISNUMBER(Wärme[[#This Row],[Fernwärme Eigenfaktor Scope 2
'[g CO2e/kWh']
(falls zutreffend)]])))</f>
        <v/>
      </c>
      <c r="Q42" s="15" t="str">
        <f>IFERROR(VLOOKUP(Wärme[[#This Row],[Thema_Bezeichung]],EFs_Wärme[],5,FALSE),"")</f>
        <v/>
      </c>
      <c r="R42" s="15" t="str">
        <f>IFERROR(VLOOKUP(Wärme[[#This Row],[Thema_Bezeichung]],EFs_Wärme[],6,FALSE),"")</f>
        <v/>
      </c>
      <c r="S42" s="15" t="str">
        <f>IFERROR(VLOOKUP(Wärme[[#This Row],[Thema_Bezeichung]],EFs_Wärme[],7,FALSE),"")</f>
        <v/>
      </c>
      <c r="T42" s="15" t="str">
        <f>IFERROR(VLOOKUP(Wärme[[#This Row],[Thema_Bezeichung]],EFs_Wärme[],8,FALSE),"")</f>
        <v/>
      </c>
      <c r="U42" s="15" t="str">
        <f>IFERROR(VLOOKUP(Wärme[[#This Row],[Thema_Bezeichung]],EFs_Wärme[],9,FALSE),"")</f>
        <v/>
      </c>
      <c r="V42" s="15" t="str">
        <f>IFERROR(VLOOKUP(Wärme[[#This Row],[Thema_Bezeichung]],EFs_Wärme[],10,FALSE),"")</f>
        <v/>
      </c>
      <c r="W42" s="15" t="str">
        <f>IFERROR(VLOOKUP(Wärme[[#This Row],[Thema_Bezeichung]],EFs_Wärme[],11,FALSE),"")</f>
        <v/>
      </c>
      <c r="X42" s="15" t="str">
        <f>IFERROR(VLOOKUP(Wärme[[#This Row],[Thema_Bezeichung]],EFs_Wärme[],12,FALSE),"")</f>
        <v/>
      </c>
      <c r="Y42" s="15" t="str">
        <f>IFERROR(VLOOKUP(Wärme[[#This Row],[Thema_Bezeichung]],EFs_Wärme[],13,FALSE),"")</f>
        <v/>
      </c>
      <c r="Z42" s="15" t="str">
        <f>IFERROR(VLOOKUP(Wärme[[#This Row],[Thema_Bezeichung]],EFs_Wärme[],14,FALSE),"")</f>
        <v/>
      </c>
      <c r="AA42" s="15" t="str">
        <f>IF(Wärme[[#This Row],[Fernwärme - Eigenfaktor angegeben?]]=TRUE,Wärme[[#This Row],[Fernwärme Eigenfaktor Scope 2
'[g CO2e/kWh']
(falls zutreffend)]]/1000,IFERROR(VLOOKUP(Wärme[[#This Row],[Thema_Bezeichung]],EFs_Wärme[],15,FALSE),""))</f>
        <v/>
      </c>
      <c r="AB42" s="15" t="str">
        <f>IFERROR(VLOOKUP(Wärme[[#This Row],[Thema_Bezeichung]],EFs_Wärme[],16,FALSE),"")</f>
        <v/>
      </c>
      <c r="AC42" s="15" t="str">
        <f>IFERROR(VLOOKUP(Wärme[[#This Row],[Thema_Bezeichung]],EFs_Wärme[],17,FALSE),"")</f>
        <v/>
      </c>
      <c r="AD42" s="15" t="str">
        <f>IFERROR(VLOOKUP(Wärme[[#This Row],[Thema_Bezeichung]],EFs_Wärme[],18,FALSE),"")</f>
        <v/>
      </c>
      <c r="AE42" s="15" t="str">
        <f>IFERROR(VLOOKUP(Wärme[[#This Row],[Thema_Bezeichung]],EFs_Wärme[],19,FALSE),"")</f>
        <v/>
      </c>
      <c r="AF42" s="15" t="str">
        <f>IFERROR(VLOOKUP(Wärme[[#This Row],[Thema_Bezeichung]],EFs_Wärme[],20,FALSE),"")</f>
        <v/>
      </c>
      <c r="AG42" s="15" t="str">
        <f>IFERROR(VLOOKUP(Wärme[[#This Row],[Thema_Bezeichung]],EFs_Wärme[],21,FALSE),"")</f>
        <v/>
      </c>
      <c r="AH42" s="15" t="str">
        <f>IFERROR(VLOOKUP(Wärme[[#This Row],[Thema_Bezeichung]],EFs_Wärme[],22,FALSE),"")</f>
        <v/>
      </c>
      <c r="AI42" s="15" t="str">
        <f>IFERROR(VLOOKUP(Wärme[[#This Row],[Thema_Bezeichung]],EFs_Wärme[],23,FALSE),"")</f>
        <v/>
      </c>
      <c r="AJ42" s="15" t="str">
        <f>IFERROR(VLOOKUP(Wärme[[#This Row],[Thema_Bezeichung]],EFs_Wärme[],24,FALSE),"")</f>
        <v/>
      </c>
      <c r="AK42" s="15" t="str">
        <f>IFERROR(Wärme[[#This Row],[Wert 
(Zahl)]]*Wärme[[#This Row],[EF Scope 1 CO2e
(kg CO2e/Einheit)]],"")</f>
        <v/>
      </c>
      <c r="AL42" s="15" t="str">
        <f>IFERROR(Wärme[[#This Row],[Wert 
(Zahl)]]*Wärme[[#This Row],[EF Scope 2 CO2e
(kg CO2e/Einheit)]],"")</f>
        <v/>
      </c>
      <c r="AM42" s="15" t="str">
        <f>IFERROR(Wärme[[#This Row],[Wert 
(Zahl)]]*Wärme[[#This Row],[EF Scope 3 CO2e
(kg CO2e/Einheit)]],"")</f>
        <v/>
      </c>
      <c r="AN42" s="15" t="str">
        <f>IFERROR(Wärme[[#This Row],[Wert 
(Zahl)]]*Wärme[[#This Row],[EF Scope 1 CO2 biogen
(kg CO2 /Einheit)]],"")</f>
        <v/>
      </c>
      <c r="AO42" s="15" t="str">
        <f>IFERROR(Wärme[[#This Row],[Wert 
(Zahl)]]*Wärme[[#This Row],[EF Scope 1 CO2
(kg CO2/Einheit)]],"")</f>
        <v/>
      </c>
      <c r="AP42" s="15" t="str">
        <f>IFERROR(Wärme[[#This Row],[Wert 
(Zahl)]]*Wärme[[#This Row],[EF Scope 1 CH4
(kg CH4/Einheit)]],"")</f>
        <v/>
      </c>
      <c r="AQ42" s="15" t="str">
        <f>IFERROR(Wärme[[#This Row],[Wert 
(Zahl)]]*Wärme[[#This Row],[EF Scope 1 N2O
(kg N2O/Einheit)]],"")</f>
        <v/>
      </c>
      <c r="AR42" s="15" t="str">
        <f>IFERROR(Wärme[[#This Row],[Wert 
(Zahl)]]*Wärme[[#This Row],[EF Scope 1 HFCs
(kg HFCs/Einheit)]],"")</f>
        <v/>
      </c>
      <c r="AS42" s="15" t="str">
        <f>IFERROR(Wärme[[#This Row],[Wert 
(Zahl)]]*Wärme[[#This Row],[EF Scope 1 PFCs
(kg PFCs/Einheit)]],"")</f>
        <v/>
      </c>
      <c r="AT42" s="15" t="str">
        <f>IFERROR(Wärme[[#This Row],[Wert 
(Zahl)]]*Wärme[[#This Row],[EF Scope 1 SF6
(kg SF6/Einheit)]],"")</f>
        <v/>
      </c>
      <c r="AU42" s="15" t="str">
        <f>IFERROR(Wärme[[#This Row],[Wert 
(Zahl)]]*Wärme[[#This Row],[EF Scope 1 NF3
(kg NF3/Einheit)]],"")</f>
        <v/>
      </c>
      <c r="AV42" s="15" t="str">
        <f>IFERROR(Wärme[[#This Row],[Wert 
(Zahl)]]*Wärme[[#This Row],[EF Scope 1 Nicht-Kyoto-Gase (kg Nicht-Kyoto-Gase/Einheit)]],"")</f>
        <v/>
      </c>
      <c r="AW42" s="15" t="str">
        <f>IFERROR(Wärme[[#This Row],[Wert 
(Zahl)]]*Wärme[[#This Row],[EF Scope 2 CO2
(kg CO2/Einheit)]],"")</f>
        <v/>
      </c>
      <c r="AX42" s="15" t="str">
        <f>IFERROR(Wärme[[#This Row],[Wert 
(Zahl)]]*Wärme[[#This Row],[EF Scope 2 CH4
(kg CH4/Einheit)]],"")</f>
        <v/>
      </c>
      <c r="AY42" s="15" t="str">
        <f>IFERROR(Wärme[[#This Row],[Wert 
(Zahl)]]*Wärme[[#This Row],[EF Scope 2 N2O
(kg N2O/Einheit)]],"")</f>
        <v/>
      </c>
      <c r="AZ42" s="15" t="str">
        <f>IFERROR(Wärme[[#This Row],[Wert 
(Zahl)]]*Wärme[[#This Row],[EF Scope 2 HFCs
(kg HFCs/Einheit)]],"")</f>
        <v/>
      </c>
      <c r="BA42" s="15" t="str">
        <f>IFERROR(Wärme[[#This Row],[Wert 
(Zahl)]]*Wärme[[#This Row],[EF Scope 2 PFCs
(kg PFCs/Einheit)]],"")</f>
        <v/>
      </c>
      <c r="BB42" s="15" t="str">
        <f>IFERROR(Wärme[[#This Row],[Wert 
(Zahl)]]*Wärme[[#This Row],[EF Scope 2 SF6
(kg SF6/Einheit)]],"")</f>
        <v/>
      </c>
      <c r="BC42" s="15" t="str">
        <f>IFERROR(Wärme[[#This Row],[Wert 
(Zahl)]]*Wärme[[#This Row],[EF Scope 2 NF3
(kg NF3/Einheit)]],"")</f>
        <v/>
      </c>
      <c r="BD42" s="15" t="str">
        <f>IFERROR(Wärme[[#This Row],[Wert 
(Zahl)]]*Wärme[[#This Row],[EF Scope 2 Nicht-Kyoto-Gase (kg Nicht-Kyoto-Gase/Einheit)]],"")</f>
        <v/>
      </c>
      <c r="BE42" s="15" t="str">
        <f>IF(ISBLANK(Wärme[[#This Row],[Wert 
(Zahl)]]),"",IFERROR(Wärme[[#This Row],[Scope 1 CO2 '[kg CO2']]]*IFERROR(VLOOKUP("CO2",GWP_100[],3,FALSE),0),0))</f>
        <v/>
      </c>
      <c r="BF42" s="15" t="str">
        <f>IF(ISBLANK(Wärme[[#This Row],[Wert 
(Zahl)]]),"",IFERROR(Wärme[[#This Row],[Scope 1 CH4 '[kg CH4']]]*IFERROR(VLOOKUP("CH4",GWP_100[],4,FALSE),0),0))</f>
        <v/>
      </c>
      <c r="BG42" s="15" t="str">
        <f>IF(ISBLANK(Wärme[[#This Row],[Wert 
(Zahl)]]),"",IFERROR(Wärme[[#This Row],[Scope 1 N2O '[kg N2O']]]*IFERROR(VLOOKUP("N2O",GWP_100[],5,FALSE),0),0))</f>
        <v/>
      </c>
      <c r="BH42" s="15" t="str">
        <f>IF(ISBLANK(Wärme[[#This Row],[Wert 
(Zahl)]]),"",IFERROR(Wärme[[#This Row],[Scope 1 HFCs '[kg HFCs']]]*IFERROR(VLOOKUP(Wärme[[#This Row],[Emissionsquelle/Aktivität (Dropdown)]],GWP_100[],6,FALSE),0),0))</f>
        <v/>
      </c>
      <c r="BI42" s="15" t="str">
        <f>IF(ISBLANK(Wärme[[#This Row],[Wert 
(Zahl)]]),"",IFERROR(Wärme[[#This Row],[Scope 1 PFCs '[kg PFCs']]]*IFERROR(VLOOKUP(Wärme[[#This Row],[Emissionsquelle/Aktivität (Dropdown)]],GWP_100[],7,FALSE),0),0))</f>
        <v/>
      </c>
      <c r="BJ42" s="15" t="str">
        <f>IF(ISBLANK(Wärme[[#This Row],[Wert 
(Zahl)]]),"",IFERROR(Wärme[[#This Row],[Scope 1 SF6 '[kg SF6']]]*IFERROR(VLOOKUP("SF6",GWP_100[],8,FALSE),0),0))</f>
        <v/>
      </c>
      <c r="BK42" s="15" t="str">
        <f>IF(ISBLANK(Wärme[[#This Row],[Wert 
(Zahl)]]),"",IFERROR(Wärme[[#This Row],[Scope 1 NF3 '[kg NF3']]]*IFERROR(VLOOKUP("NF3",GWP_100[],9,FALSE),0),0))</f>
        <v/>
      </c>
      <c r="BL42" s="15" t="str">
        <f>IF(ISBLANK(Wärme[[#This Row],[Wert 
(Zahl)]]),"",IFERROR(Wärme[[#This Row],[Scope 1 non-Kyoto '[kg non-Kyoto gas']]]*IFERROR(VLOOKUP(Wärme[[#This Row],[Emissionsquelle/Aktivität (Dropdown)]],GWP_100[],10,FALSE),0),0))</f>
        <v/>
      </c>
      <c r="BM42" s="15" t="str">
        <f>IF(ISBLANK(Wärme[[#This Row],[Wert 
(Zahl)]]),"",IFERROR(Wärme[[#This Row],[Scope 2 CO2 '[kg CO2']]]*IFERROR(VLOOKUP("CO2",GWP_100[],3,FALSE),0),0))</f>
        <v/>
      </c>
      <c r="BN42" s="15" t="str">
        <f>IF(ISBLANK(Wärme[[#This Row],[Wert 
(Zahl)]]),"",IFERROR(Wärme[[#This Row],[Scope 2 CH4 '[kg CH4']]]*IFERROR(VLOOKUP("CH4",GWP_100[],4,FALSE),0),0))</f>
        <v/>
      </c>
      <c r="BO42" s="15" t="str">
        <f>IF(ISBLANK(Wärme[[#This Row],[Wert 
(Zahl)]]),"",IFERROR(Wärme[[#This Row],[Scope 2 N2O '[kg N2O']]]*IFERROR(VLOOKUP("N2O",GWP_100[],5,FALSE),0),0))</f>
        <v/>
      </c>
      <c r="BP42" s="15" t="str">
        <f>IF(ISBLANK(Wärme[[#This Row],[Wert 
(Zahl)]]),"",IFERROR(Wärme[[#This Row],[Scope 2 HFCs '[kg HFCs']]]*IFERROR(VLOOKUP(Wärme[[#This Row],[Emissionsquelle/Aktivität (Dropdown)]],GWP_100[],6,FALSE),0),0))</f>
        <v/>
      </c>
      <c r="BQ42" s="15" t="str">
        <f>IF(ISBLANK(Wärme[[#This Row],[Wert 
(Zahl)]]),"",IFERROR(Wärme[[#This Row],[Scope 2 PFCs '[kg PFCs']]]*IFERROR(VLOOKUP(Wärme[[#This Row],[Emissionsquelle/Aktivität (Dropdown)]],GWP_100[],7,FALSE),0),0))</f>
        <v/>
      </c>
      <c r="BR42" s="15" t="str">
        <f>IF(ISBLANK(Wärme[[#This Row],[Wert 
(Zahl)]]),"",IFERROR(Wärme[[#This Row],[Scope 2 SF6 '[kg SF6']]]*IFERROR(VLOOKUP("SF6",GWP_100[],8,FALSE),0),0))</f>
        <v/>
      </c>
      <c r="BS42" s="15" t="str">
        <f>IF(ISBLANK(Wärme[[#This Row],[Wert 
(Zahl)]]),"",IFERROR(Wärme[[#This Row],[Scope 2 NF3 '[kg NF3']]]*IFERROR(VLOOKUP("NF3",GWP_100[],9,FALSE),0),0))</f>
        <v/>
      </c>
      <c r="BT42" s="15" t="str">
        <f>IF(ISBLANK(Wärme[[#This Row],[Wert 
(Zahl)]]),"",IFERROR(Wärme[[#This Row],[Scope 2 non-Kyoto '[kg non-Kyoto gas']]]*IFERROR(VLOOKUP(Wärme[[#This Row],[Emissionsquelle/Aktivität (Dropdown)]],GWP_100[],10,FALSE),0),0))</f>
        <v/>
      </c>
    </row>
    <row r="43" spans="2:72" s="89" customFormat="1" x14ac:dyDescent="0.35">
      <c r="B43" s="604"/>
      <c r="C43" s="10" t="str">
        <f t="shared" si="0"/>
        <v>Wärme</v>
      </c>
      <c r="D43" s="90"/>
      <c r="E43" s="90"/>
      <c r="F43" s="288"/>
      <c r="G43" s="10" t="str">
        <f>IFERROR(VLOOKUP(Wärme[[#This Row],[Thema_Bezeichung]],EFs_Wärme[],4,FALSE),"")</f>
        <v/>
      </c>
      <c r="H43" s="90"/>
      <c r="I43" s="90"/>
      <c r="J43" s="90"/>
      <c r="K43" s="90"/>
      <c r="L43" s="284" t="str">
        <f>IF(ISBLANK(Wärme[[#This Row],[Wert 
(Zahl)]]),"", SUM(Wärme[[#This Row],[Scope 1 CO2e '[kg CO2e']]:[Scope 3 CO2e '[kg CO2e']]]))</f>
        <v/>
      </c>
      <c r="M43" s="158"/>
      <c r="N43" s="158"/>
      <c r="O43" s="15" t="str">
        <f>IF(ISBLANK(Wärme[[#This Row],[Emissionsquelle/Aktivität (Dropdown)]]),"",CONCATENATE(Wärme[[#This Row],[Sektor_Thema]]," - ",Wärme[[#This Row],[Emissionsquelle/Aktivität (Dropdown)]]))</f>
        <v/>
      </c>
      <c r="P43" s="15" t="str">
        <f>IF(ISBLANK(Wärme[[#This Row],[Emissionsquelle/Aktivität (Dropdown)]]),"",AND(Wärme[[#This Row],[Emissionsquelle/Aktivität (Dropdown)]]="Fernwärme (Wert Energieversorger)",ISNUMBER(Wärme[[#This Row],[Fernwärme Eigenfaktor Scope 2
'[g CO2e/kWh']
(falls zutreffend)]])))</f>
        <v/>
      </c>
      <c r="Q43" s="15" t="str">
        <f>IFERROR(VLOOKUP(Wärme[[#This Row],[Thema_Bezeichung]],EFs_Wärme[],5,FALSE),"")</f>
        <v/>
      </c>
      <c r="R43" s="15" t="str">
        <f>IFERROR(VLOOKUP(Wärme[[#This Row],[Thema_Bezeichung]],EFs_Wärme[],6,FALSE),"")</f>
        <v/>
      </c>
      <c r="S43" s="15" t="str">
        <f>IFERROR(VLOOKUP(Wärme[[#This Row],[Thema_Bezeichung]],EFs_Wärme[],7,FALSE),"")</f>
        <v/>
      </c>
      <c r="T43" s="15" t="str">
        <f>IFERROR(VLOOKUP(Wärme[[#This Row],[Thema_Bezeichung]],EFs_Wärme[],8,FALSE),"")</f>
        <v/>
      </c>
      <c r="U43" s="15" t="str">
        <f>IFERROR(VLOOKUP(Wärme[[#This Row],[Thema_Bezeichung]],EFs_Wärme[],9,FALSE),"")</f>
        <v/>
      </c>
      <c r="V43" s="15" t="str">
        <f>IFERROR(VLOOKUP(Wärme[[#This Row],[Thema_Bezeichung]],EFs_Wärme[],10,FALSE),"")</f>
        <v/>
      </c>
      <c r="W43" s="15" t="str">
        <f>IFERROR(VLOOKUP(Wärme[[#This Row],[Thema_Bezeichung]],EFs_Wärme[],11,FALSE),"")</f>
        <v/>
      </c>
      <c r="X43" s="15" t="str">
        <f>IFERROR(VLOOKUP(Wärme[[#This Row],[Thema_Bezeichung]],EFs_Wärme[],12,FALSE),"")</f>
        <v/>
      </c>
      <c r="Y43" s="15" t="str">
        <f>IFERROR(VLOOKUP(Wärme[[#This Row],[Thema_Bezeichung]],EFs_Wärme[],13,FALSE),"")</f>
        <v/>
      </c>
      <c r="Z43" s="15" t="str">
        <f>IFERROR(VLOOKUP(Wärme[[#This Row],[Thema_Bezeichung]],EFs_Wärme[],14,FALSE),"")</f>
        <v/>
      </c>
      <c r="AA43" s="15" t="str">
        <f>IF(Wärme[[#This Row],[Fernwärme - Eigenfaktor angegeben?]]=TRUE,Wärme[[#This Row],[Fernwärme Eigenfaktor Scope 2
'[g CO2e/kWh']
(falls zutreffend)]]/1000,IFERROR(VLOOKUP(Wärme[[#This Row],[Thema_Bezeichung]],EFs_Wärme[],15,FALSE),""))</f>
        <v/>
      </c>
      <c r="AB43" s="15" t="str">
        <f>IFERROR(VLOOKUP(Wärme[[#This Row],[Thema_Bezeichung]],EFs_Wärme[],16,FALSE),"")</f>
        <v/>
      </c>
      <c r="AC43" s="15" t="str">
        <f>IFERROR(VLOOKUP(Wärme[[#This Row],[Thema_Bezeichung]],EFs_Wärme[],17,FALSE),"")</f>
        <v/>
      </c>
      <c r="AD43" s="15" t="str">
        <f>IFERROR(VLOOKUP(Wärme[[#This Row],[Thema_Bezeichung]],EFs_Wärme[],18,FALSE),"")</f>
        <v/>
      </c>
      <c r="AE43" s="15" t="str">
        <f>IFERROR(VLOOKUP(Wärme[[#This Row],[Thema_Bezeichung]],EFs_Wärme[],19,FALSE),"")</f>
        <v/>
      </c>
      <c r="AF43" s="15" t="str">
        <f>IFERROR(VLOOKUP(Wärme[[#This Row],[Thema_Bezeichung]],EFs_Wärme[],20,FALSE),"")</f>
        <v/>
      </c>
      <c r="AG43" s="15" t="str">
        <f>IFERROR(VLOOKUP(Wärme[[#This Row],[Thema_Bezeichung]],EFs_Wärme[],21,FALSE),"")</f>
        <v/>
      </c>
      <c r="AH43" s="15" t="str">
        <f>IFERROR(VLOOKUP(Wärme[[#This Row],[Thema_Bezeichung]],EFs_Wärme[],22,FALSE),"")</f>
        <v/>
      </c>
      <c r="AI43" s="15" t="str">
        <f>IFERROR(VLOOKUP(Wärme[[#This Row],[Thema_Bezeichung]],EFs_Wärme[],23,FALSE),"")</f>
        <v/>
      </c>
      <c r="AJ43" s="15" t="str">
        <f>IFERROR(VLOOKUP(Wärme[[#This Row],[Thema_Bezeichung]],EFs_Wärme[],24,FALSE),"")</f>
        <v/>
      </c>
      <c r="AK43" s="15" t="str">
        <f>IFERROR(Wärme[[#This Row],[Wert 
(Zahl)]]*Wärme[[#This Row],[EF Scope 1 CO2e
(kg CO2e/Einheit)]],"")</f>
        <v/>
      </c>
      <c r="AL43" s="15" t="str">
        <f>IFERROR(Wärme[[#This Row],[Wert 
(Zahl)]]*Wärme[[#This Row],[EF Scope 2 CO2e
(kg CO2e/Einheit)]],"")</f>
        <v/>
      </c>
      <c r="AM43" s="15" t="str">
        <f>IFERROR(Wärme[[#This Row],[Wert 
(Zahl)]]*Wärme[[#This Row],[EF Scope 3 CO2e
(kg CO2e/Einheit)]],"")</f>
        <v/>
      </c>
      <c r="AN43" s="15" t="str">
        <f>IFERROR(Wärme[[#This Row],[Wert 
(Zahl)]]*Wärme[[#This Row],[EF Scope 1 CO2 biogen
(kg CO2 /Einheit)]],"")</f>
        <v/>
      </c>
      <c r="AO43" s="15" t="str">
        <f>IFERROR(Wärme[[#This Row],[Wert 
(Zahl)]]*Wärme[[#This Row],[EF Scope 1 CO2
(kg CO2/Einheit)]],"")</f>
        <v/>
      </c>
      <c r="AP43" s="15" t="str">
        <f>IFERROR(Wärme[[#This Row],[Wert 
(Zahl)]]*Wärme[[#This Row],[EF Scope 1 CH4
(kg CH4/Einheit)]],"")</f>
        <v/>
      </c>
      <c r="AQ43" s="15" t="str">
        <f>IFERROR(Wärme[[#This Row],[Wert 
(Zahl)]]*Wärme[[#This Row],[EF Scope 1 N2O
(kg N2O/Einheit)]],"")</f>
        <v/>
      </c>
      <c r="AR43" s="15" t="str">
        <f>IFERROR(Wärme[[#This Row],[Wert 
(Zahl)]]*Wärme[[#This Row],[EF Scope 1 HFCs
(kg HFCs/Einheit)]],"")</f>
        <v/>
      </c>
      <c r="AS43" s="15" t="str">
        <f>IFERROR(Wärme[[#This Row],[Wert 
(Zahl)]]*Wärme[[#This Row],[EF Scope 1 PFCs
(kg PFCs/Einheit)]],"")</f>
        <v/>
      </c>
      <c r="AT43" s="15" t="str">
        <f>IFERROR(Wärme[[#This Row],[Wert 
(Zahl)]]*Wärme[[#This Row],[EF Scope 1 SF6
(kg SF6/Einheit)]],"")</f>
        <v/>
      </c>
      <c r="AU43" s="15" t="str">
        <f>IFERROR(Wärme[[#This Row],[Wert 
(Zahl)]]*Wärme[[#This Row],[EF Scope 1 NF3
(kg NF3/Einheit)]],"")</f>
        <v/>
      </c>
      <c r="AV43" s="15" t="str">
        <f>IFERROR(Wärme[[#This Row],[Wert 
(Zahl)]]*Wärme[[#This Row],[EF Scope 1 Nicht-Kyoto-Gase (kg Nicht-Kyoto-Gase/Einheit)]],"")</f>
        <v/>
      </c>
      <c r="AW43" s="15" t="str">
        <f>IFERROR(Wärme[[#This Row],[Wert 
(Zahl)]]*Wärme[[#This Row],[EF Scope 2 CO2
(kg CO2/Einheit)]],"")</f>
        <v/>
      </c>
      <c r="AX43" s="15" t="str">
        <f>IFERROR(Wärme[[#This Row],[Wert 
(Zahl)]]*Wärme[[#This Row],[EF Scope 2 CH4
(kg CH4/Einheit)]],"")</f>
        <v/>
      </c>
      <c r="AY43" s="15" t="str">
        <f>IFERROR(Wärme[[#This Row],[Wert 
(Zahl)]]*Wärme[[#This Row],[EF Scope 2 N2O
(kg N2O/Einheit)]],"")</f>
        <v/>
      </c>
      <c r="AZ43" s="15" t="str">
        <f>IFERROR(Wärme[[#This Row],[Wert 
(Zahl)]]*Wärme[[#This Row],[EF Scope 2 HFCs
(kg HFCs/Einheit)]],"")</f>
        <v/>
      </c>
      <c r="BA43" s="15" t="str">
        <f>IFERROR(Wärme[[#This Row],[Wert 
(Zahl)]]*Wärme[[#This Row],[EF Scope 2 PFCs
(kg PFCs/Einheit)]],"")</f>
        <v/>
      </c>
      <c r="BB43" s="15" t="str">
        <f>IFERROR(Wärme[[#This Row],[Wert 
(Zahl)]]*Wärme[[#This Row],[EF Scope 2 SF6
(kg SF6/Einheit)]],"")</f>
        <v/>
      </c>
      <c r="BC43" s="15" t="str">
        <f>IFERROR(Wärme[[#This Row],[Wert 
(Zahl)]]*Wärme[[#This Row],[EF Scope 2 NF3
(kg NF3/Einheit)]],"")</f>
        <v/>
      </c>
      <c r="BD43" s="15" t="str">
        <f>IFERROR(Wärme[[#This Row],[Wert 
(Zahl)]]*Wärme[[#This Row],[EF Scope 2 Nicht-Kyoto-Gase (kg Nicht-Kyoto-Gase/Einheit)]],"")</f>
        <v/>
      </c>
      <c r="BE43" s="15" t="str">
        <f>IF(ISBLANK(Wärme[[#This Row],[Wert 
(Zahl)]]),"",IFERROR(Wärme[[#This Row],[Scope 1 CO2 '[kg CO2']]]*IFERROR(VLOOKUP("CO2",GWP_100[],3,FALSE),0),0))</f>
        <v/>
      </c>
      <c r="BF43" s="15" t="str">
        <f>IF(ISBLANK(Wärme[[#This Row],[Wert 
(Zahl)]]),"",IFERROR(Wärme[[#This Row],[Scope 1 CH4 '[kg CH4']]]*IFERROR(VLOOKUP("CH4",GWP_100[],4,FALSE),0),0))</f>
        <v/>
      </c>
      <c r="BG43" s="15" t="str">
        <f>IF(ISBLANK(Wärme[[#This Row],[Wert 
(Zahl)]]),"",IFERROR(Wärme[[#This Row],[Scope 1 N2O '[kg N2O']]]*IFERROR(VLOOKUP("N2O",GWP_100[],5,FALSE),0),0))</f>
        <v/>
      </c>
      <c r="BH43" s="15" t="str">
        <f>IF(ISBLANK(Wärme[[#This Row],[Wert 
(Zahl)]]),"",IFERROR(Wärme[[#This Row],[Scope 1 HFCs '[kg HFCs']]]*IFERROR(VLOOKUP(Wärme[[#This Row],[Emissionsquelle/Aktivität (Dropdown)]],GWP_100[],6,FALSE),0),0))</f>
        <v/>
      </c>
      <c r="BI43" s="15" t="str">
        <f>IF(ISBLANK(Wärme[[#This Row],[Wert 
(Zahl)]]),"",IFERROR(Wärme[[#This Row],[Scope 1 PFCs '[kg PFCs']]]*IFERROR(VLOOKUP(Wärme[[#This Row],[Emissionsquelle/Aktivität (Dropdown)]],GWP_100[],7,FALSE),0),0))</f>
        <v/>
      </c>
      <c r="BJ43" s="15" t="str">
        <f>IF(ISBLANK(Wärme[[#This Row],[Wert 
(Zahl)]]),"",IFERROR(Wärme[[#This Row],[Scope 1 SF6 '[kg SF6']]]*IFERROR(VLOOKUP("SF6",GWP_100[],8,FALSE),0),0))</f>
        <v/>
      </c>
      <c r="BK43" s="15" t="str">
        <f>IF(ISBLANK(Wärme[[#This Row],[Wert 
(Zahl)]]),"",IFERROR(Wärme[[#This Row],[Scope 1 NF3 '[kg NF3']]]*IFERROR(VLOOKUP("NF3",GWP_100[],9,FALSE),0),0))</f>
        <v/>
      </c>
      <c r="BL43" s="15" t="str">
        <f>IF(ISBLANK(Wärme[[#This Row],[Wert 
(Zahl)]]),"",IFERROR(Wärme[[#This Row],[Scope 1 non-Kyoto '[kg non-Kyoto gas']]]*IFERROR(VLOOKUP(Wärme[[#This Row],[Emissionsquelle/Aktivität (Dropdown)]],GWP_100[],10,FALSE),0),0))</f>
        <v/>
      </c>
      <c r="BM43" s="15" t="str">
        <f>IF(ISBLANK(Wärme[[#This Row],[Wert 
(Zahl)]]),"",IFERROR(Wärme[[#This Row],[Scope 2 CO2 '[kg CO2']]]*IFERROR(VLOOKUP("CO2",GWP_100[],3,FALSE),0),0))</f>
        <v/>
      </c>
      <c r="BN43" s="15" t="str">
        <f>IF(ISBLANK(Wärme[[#This Row],[Wert 
(Zahl)]]),"",IFERROR(Wärme[[#This Row],[Scope 2 CH4 '[kg CH4']]]*IFERROR(VLOOKUP("CH4",GWP_100[],4,FALSE),0),0))</f>
        <v/>
      </c>
      <c r="BO43" s="15" t="str">
        <f>IF(ISBLANK(Wärme[[#This Row],[Wert 
(Zahl)]]),"",IFERROR(Wärme[[#This Row],[Scope 2 N2O '[kg N2O']]]*IFERROR(VLOOKUP("N2O",GWP_100[],5,FALSE),0),0))</f>
        <v/>
      </c>
      <c r="BP43" s="15" t="str">
        <f>IF(ISBLANK(Wärme[[#This Row],[Wert 
(Zahl)]]),"",IFERROR(Wärme[[#This Row],[Scope 2 HFCs '[kg HFCs']]]*IFERROR(VLOOKUP(Wärme[[#This Row],[Emissionsquelle/Aktivität (Dropdown)]],GWP_100[],6,FALSE),0),0))</f>
        <v/>
      </c>
      <c r="BQ43" s="15" t="str">
        <f>IF(ISBLANK(Wärme[[#This Row],[Wert 
(Zahl)]]),"",IFERROR(Wärme[[#This Row],[Scope 2 PFCs '[kg PFCs']]]*IFERROR(VLOOKUP(Wärme[[#This Row],[Emissionsquelle/Aktivität (Dropdown)]],GWP_100[],7,FALSE),0),0))</f>
        <v/>
      </c>
      <c r="BR43" s="15" t="str">
        <f>IF(ISBLANK(Wärme[[#This Row],[Wert 
(Zahl)]]),"",IFERROR(Wärme[[#This Row],[Scope 2 SF6 '[kg SF6']]]*IFERROR(VLOOKUP("SF6",GWP_100[],8,FALSE),0),0))</f>
        <v/>
      </c>
      <c r="BS43" s="15" t="str">
        <f>IF(ISBLANK(Wärme[[#This Row],[Wert 
(Zahl)]]),"",IFERROR(Wärme[[#This Row],[Scope 2 NF3 '[kg NF3']]]*IFERROR(VLOOKUP("NF3",GWP_100[],9,FALSE),0),0))</f>
        <v/>
      </c>
      <c r="BT43" s="15" t="str">
        <f>IF(ISBLANK(Wärme[[#This Row],[Wert 
(Zahl)]]),"",IFERROR(Wärme[[#This Row],[Scope 2 non-Kyoto '[kg non-Kyoto gas']]]*IFERROR(VLOOKUP(Wärme[[#This Row],[Emissionsquelle/Aktivität (Dropdown)]],GWP_100[],10,FALSE),0),0))</f>
        <v/>
      </c>
    </row>
    <row r="44" spans="2:72" s="89" customFormat="1" x14ac:dyDescent="0.35">
      <c r="B44" s="604"/>
      <c r="C44" s="10" t="str">
        <f t="shared" si="0"/>
        <v>Wärme</v>
      </c>
      <c r="D44" s="90"/>
      <c r="E44" s="90"/>
      <c r="F44" s="288"/>
      <c r="G44" s="10" t="str">
        <f>IFERROR(VLOOKUP(Wärme[[#This Row],[Thema_Bezeichung]],EFs_Wärme[],4,FALSE),"")</f>
        <v/>
      </c>
      <c r="H44" s="90"/>
      <c r="I44" s="90"/>
      <c r="J44" s="90"/>
      <c r="K44" s="90"/>
      <c r="L44" s="284" t="str">
        <f>IF(ISBLANK(Wärme[[#This Row],[Wert 
(Zahl)]]),"", SUM(Wärme[[#This Row],[Scope 1 CO2e '[kg CO2e']]:[Scope 3 CO2e '[kg CO2e']]]))</f>
        <v/>
      </c>
      <c r="M44" s="158"/>
      <c r="N44" s="158"/>
      <c r="O44" s="15" t="str">
        <f>IF(ISBLANK(Wärme[[#This Row],[Emissionsquelle/Aktivität (Dropdown)]]),"",CONCATENATE(Wärme[[#This Row],[Sektor_Thema]]," - ",Wärme[[#This Row],[Emissionsquelle/Aktivität (Dropdown)]]))</f>
        <v/>
      </c>
      <c r="P44" s="15" t="str">
        <f>IF(ISBLANK(Wärme[[#This Row],[Emissionsquelle/Aktivität (Dropdown)]]),"",AND(Wärme[[#This Row],[Emissionsquelle/Aktivität (Dropdown)]]="Fernwärme (Wert Energieversorger)",ISNUMBER(Wärme[[#This Row],[Fernwärme Eigenfaktor Scope 2
'[g CO2e/kWh']
(falls zutreffend)]])))</f>
        <v/>
      </c>
      <c r="Q44" s="15" t="str">
        <f>IFERROR(VLOOKUP(Wärme[[#This Row],[Thema_Bezeichung]],EFs_Wärme[],5,FALSE),"")</f>
        <v/>
      </c>
      <c r="R44" s="15" t="str">
        <f>IFERROR(VLOOKUP(Wärme[[#This Row],[Thema_Bezeichung]],EFs_Wärme[],6,FALSE),"")</f>
        <v/>
      </c>
      <c r="S44" s="15" t="str">
        <f>IFERROR(VLOOKUP(Wärme[[#This Row],[Thema_Bezeichung]],EFs_Wärme[],7,FALSE),"")</f>
        <v/>
      </c>
      <c r="T44" s="15" t="str">
        <f>IFERROR(VLOOKUP(Wärme[[#This Row],[Thema_Bezeichung]],EFs_Wärme[],8,FALSE),"")</f>
        <v/>
      </c>
      <c r="U44" s="15" t="str">
        <f>IFERROR(VLOOKUP(Wärme[[#This Row],[Thema_Bezeichung]],EFs_Wärme[],9,FALSE),"")</f>
        <v/>
      </c>
      <c r="V44" s="15" t="str">
        <f>IFERROR(VLOOKUP(Wärme[[#This Row],[Thema_Bezeichung]],EFs_Wärme[],10,FALSE),"")</f>
        <v/>
      </c>
      <c r="W44" s="15" t="str">
        <f>IFERROR(VLOOKUP(Wärme[[#This Row],[Thema_Bezeichung]],EFs_Wärme[],11,FALSE),"")</f>
        <v/>
      </c>
      <c r="X44" s="15" t="str">
        <f>IFERROR(VLOOKUP(Wärme[[#This Row],[Thema_Bezeichung]],EFs_Wärme[],12,FALSE),"")</f>
        <v/>
      </c>
      <c r="Y44" s="15" t="str">
        <f>IFERROR(VLOOKUP(Wärme[[#This Row],[Thema_Bezeichung]],EFs_Wärme[],13,FALSE),"")</f>
        <v/>
      </c>
      <c r="Z44" s="15" t="str">
        <f>IFERROR(VLOOKUP(Wärme[[#This Row],[Thema_Bezeichung]],EFs_Wärme[],14,FALSE),"")</f>
        <v/>
      </c>
      <c r="AA44" s="15" t="str">
        <f>IF(Wärme[[#This Row],[Fernwärme - Eigenfaktor angegeben?]]=TRUE,Wärme[[#This Row],[Fernwärme Eigenfaktor Scope 2
'[g CO2e/kWh']
(falls zutreffend)]]/1000,IFERROR(VLOOKUP(Wärme[[#This Row],[Thema_Bezeichung]],EFs_Wärme[],15,FALSE),""))</f>
        <v/>
      </c>
      <c r="AB44" s="15" t="str">
        <f>IFERROR(VLOOKUP(Wärme[[#This Row],[Thema_Bezeichung]],EFs_Wärme[],16,FALSE),"")</f>
        <v/>
      </c>
      <c r="AC44" s="15" t="str">
        <f>IFERROR(VLOOKUP(Wärme[[#This Row],[Thema_Bezeichung]],EFs_Wärme[],17,FALSE),"")</f>
        <v/>
      </c>
      <c r="AD44" s="15" t="str">
        <f>IFERROR(VLOOKUP(Wärme[[#This Row],[Thema_Bezeichung]],EFs_Wärme[],18,FALSE),"")</f>
        <v/>
      </c>
      <c r="AE44" s="15" t="str">
        <f>IFERROR(VLOOKUP(Wärme[[#This Row],[Thema_Bezeichung]],EFs_Wärme[],19,FALSE),"")</f>
        <v/>
      </c>
      <c r="AF44" s="15" t="str">
        <f>IFERROR(VLOOKUP(Wärme[[#This Row],[Thema_Bezeichung]],EFs_Wärme[],20,FALSE),"")</f>
        <v/>
      </c>
      <c r="AG44" s="15" t="str">
        <f>IFERROR(VLOOKUP(Wärme[[#This Row],[Thema_Bezeichung]],EFs_Wärme[],21,FALSE),"")</f>
        <v/>
      </c>
      <c r="AH44" s="15" t="str">
        <f>IFERROR(VLOOKUP(Wärme[[#This Row],[Thema_Bezeichung]],EFs_Wärme[],22,FALSE),"")</f>
        <v/>
      </c>
      <c r="AI44" s="15" t="str">
        <f>IFERROR(VLOOKUP(Wärme[[#This Row],[Thema_Bezeichung]],EFs_Wärme[],23,FALSE),"")</f>
        <v/>
      </c>
      <c r="AJ44" s="15" t="str">
        <f>IFERROR(VLOOKUP(Wärme[[#This Row],[Thema_Bezeichung]],EFs_Wärme[],24,FALSE),"")</f>
        <v/>
      </c>
      <c r="AK44" s="15" t="str">
        <f>IFERROR(Wärme[[#This Row],[Wert 
(Zahl)]]*Wärme[[#This Row],[EF Scope 1 CO2e
(kg CO2e/Einheit)]],"")</f>
        <v/>
      </c>
      <c r="AL44" s="15" t="str">
        <f>IFERROR(Wärme[[#This Row],[Wert 
(Zahl)]]*Wärme[[#This Row],[EF Scope 2 CO2e
(kg CO2e/Einheit)]],"")</f>
        <v/>
      </c>
      <c r="AM44" s="15" t="str">
        <f>IFERROR(Wärme[[#This Row],[Wert 
(Zahl)]]*Wärme[[#This Row],[EF Scope 3 CO2e
(kg CO2e/Einheit)]],"")</f>
        <v/>
      </c>
      <c r="AN44" s="15" t="str">
        <f>IFERROR(Wärme[[#This Row],[Wert 
(Zahl)]]*Wärme[[#This Row],[EF Scope 1 CO2 biogen
(kg CO2 /Einheit)]],"")</f>
        <v/>
      </c>
      <c r="AO44" s="15" t="str">
        <f>IFERROR(Wärme[[#This Row],[Wert 
(Zahl)]]*Wärme[[#This Row],[EF Scope 1 CO2
(kg CO2/Einheit)]],"")</f>
        <v/>
      </c>
      <c r="AP44" s="15" t="str">
        <f>IFERROR(Wärme[[#This Row],[Wert 
(Zahl)]]*Wärme[[#This Row],[EF Scope 1 CH4
(kg CH4/Einheit)]],"")</f>
        <v/>
      </c>
      <c r="AQ44" s="15" t="str">
        <f>IFERROR(Wärme[[#This Row],[Wert 
(Zahl)]]*Wärme[[#This Row],[EF Scope 1 N2O
(kg N2O/Einheit)]],"")</f>
        <v/>
      </c>
      <c r="AR44" s="15" t="str">
        <f>IFERROR(Wärme[[#This Row],[Wert 
(Zahl)]]*Wärme[[#This Row],[EF Scope 1 HFCs
(kg HFCs/Einheit)]],"")</f>
        <v/>
      </c>
      <c r="AS44" s="15" t="str">
        <f>IFERROR(Wärme[[#This Row],[Wert 
(Zahl)]]*Wärme[[#This Row],[EF Scope 1 PFCs
(kg PFCs/Einheit)]],"")</f>
        <v/>
      </c>
      <c r="AT44" s="15" t="str">
        <f>IFERROR(Wärme[[#This Row],[Wert 
(Zahl)]]*Wärme[[#This Row],[EF Scope 1 SF6
(kg SF6/Einheit)]],"")</f>
        <v/>
      </c>
      <c r="AU44" s="15" t="str">
        <f>IFERROR(Wärme[[#This Row],[Wert 
(Zahl)]]*Wärme[[#This Row],[EF Scope 1 NF3
(kg NF3/Einheit)]],"")</f>
        <v/>
      </c>
      <c r="AV44" s="15" t="str">
        <f>IFERROR(Wärme[[#This Row],[Wert 
(Zahl)]]*Wärme[[#This Row],[EF Scope 1 Nicht-Kyoto-Gase (kg Nicht-Kyoto-Gase/Einheit)]],"")</f>
        <v/>
      </c>
      <c r="AW44" s="15" t="str">
        <f>IFERROR(Wärme[[#This Row],[Wert 
(Zahl)]]*Wärme[[#This Row],[EF Scope 2 CO2
(kg CO2/Einheit)]],"")</f>
        <v/>
      </c>
      <c r="AX44" s="15" t="str">
        <f>IFERROR(Wärme[[#This Row],[Wert 
(Zahl)]]*Wärme[[#This Row],[EF Scope 2 CH4
(kg CH4/Einheit)]],"")</f>
        <v/>
      </c>
      <c r="AY44" s="15" t="str">
        <f>IFERROR(Wärme[[#This Row],[Wert 
(Zahl)]]*Wärme[[#This Row],[EF Scope 2 N2O
(kg N2O/Einheit)]],"")</f>
        <v/>
      </c>
      <c r="AZ44" s="15" t="str">
        <f>IFERROR(Wärme[[#This Row],[Wert 
(Zahl)]]*Wärme[[#This Row],[EF Scope 2 HFCs
(kg HFCs/Einheit)]],"")</f>
        <v/>
      </c>
      <c r="BA44" s="15" t="str">
        <f>IFERROR(Wärme[[#This Row],[Wert 
(Zahl)]]*Wärme[[#This Row],[EF Scope 2 PFCs
(kg PFCs/Einheit)]],"")</f>
        <v/>
      </c>
      <c r="BB44" s="15" t="str">
        <f>IFERROR(Wärme[[#This Row],[Wert 
(Zahl)]]*Wärme[[#This Row],[EF Scope 2 SF6
(kg SF6/Einheit)]],"")</f>
        <v/>
      </c>
      <c r="BC44" s="15" t="str">
        <f>IFERROR(Wärme[[#This Row],[Wert 
(Zahl)]]*Wärme[[#This Row],[EF Scope 2 NF3
(kg NF3/Einheit)]],"")</f>
        <v/>
      </c>
      <c r="BD44" s="15" t="str">
        <f>IFERROR(Wärme[[#This Row],[Wert 
(Zahl)]]*Wärme[[#This Row],[EF Scope 2 Nicht-Kyoto-Gase (kg Nicht-Kyoto-Gase/Einheit)]],"")</f>
        <v/>
      </c>
      <c r="BE44" s="15" t="str">
        <f>IF(ISBLANK(Wärme[[#This Row],[Wert 
(Zahl)]]),"",IFERROR(Wärme[[#This Row],[Scope 1 CO2 '[kg CO2']]]*IFERROR(VLOOKUP("CO2",GWP_100[],3,FALSE),0),0))</f>
        <v/>
      </c>
      <c r="BF44" s="15" t="str">
        <f>IF(ISBLANK(Wärme[[#This Row],[Wert 
(Zahl)]]),"",IFERROR(Wärme[[#This Row],[Scope 1 CH4 '[kg CH4']]]*IFERROR(VLOOKUP("CH4",GWP_100[],4,FALSE),0),0))</f>
        <v/>
      </c>
      <c r="BG44" s="15" t="str">
        <f>IF(ISBLANK(Wärme[[#This Row],[Wert 
(Zahl)]]),"",IFERROR(Wärme[[#This Row],[Scope 1 N2O '[kg N2O']]]*IFERROR(VLOOKUP("N2O",GWP_100[],5,FALSE),0),0))</f>
        <v/>
      </c>
      <c r="BH44" s="15" t="str">
        <f>IF(ISBLANK(Wärme[[#This Row],[Wert 
(Zahl)]]),"",IFERROR(Wärme[[#This Row],[Scope 1 HFCs '[kg HFCs']]]*IFERROR(VLOOKUP(Wärme[[#This Row],[Emissionsquelle/Aktivität (Dropdown)]],GWP_100[],6,FALSE),0),0))</f>
        <v/>
      </c>
      <c r="BI44" s="15" t="str">
        <f>IF(ISBLANK(Wärme[[#This Row],[Wert 
(Zahl)]]),"",IFERROR(Wärme[[#This Row],[Scope 1 PFCs '[kg PFCs']]]*IFERROR(VLOOKUP(Wärme[[#This Row],[Emissionsquelle/Aktivität (Dropdown)]],GWP_100[],7,FALSE),0),0))</f>
        <v/>
      </c>
      <c r="BJ44" s="15" t="str">
        <f>IF(ISBLANK(Wärme[[#This Row],[Wert 
(Zahl)]]),"",IFERROR(Wärme[[#This Row],[Scope 1 SF6 '[kg SF6']]]*IFERROR(VLOOKUP("SF6",GWP_100[],8,FALSE),0),0))</f>
        <v/>
      </c>
      <c r="BK44" s="15" t="str">
        <f>IF(ISBLANK(Wärme[[#This Row],[Wert 
(Zahl)]]),"",IFERROR(Wärme[[#This Row],[Scope 1 NF3 '[kg NF3']]]*IFERROR(VLOOKUP("NF3",GWP_100[],9,FALSE),0),0))</f>
        <v/>
      </c>
      <c r="BL44" s="15" t="str">
        <f>IF(ISBLANK(Wärme[[#This Row],[Wert 
(Zahl)]]),"",IFERROR(Wärme[[#This Row],[Scope 1 non-Kyoto '[kg non-Kyoto gas']]]*IFERROR(VLOOKUP(Wärme[[#This Row],[Emissionsquelle/Aktivität (Dropdown)]],GWP_100[],10,FALSE),0),0))</f>
        <v/>
      </c>
      <c r="BM44" s="15" t="str">
        <f>IF(ISBLANK(Wärme[[#This Row],[Wert 
(Zahl)]]),"",IFERROR(Wärme[[#This Row],[Scope 2 CO2 '[kg CO2']]]*IFERROR(VLOOKUP("CO2",GWP_100[],3,FALSE),0),0))</f>
        <v/>
      </c>
      <c r="BN44" s="15" t="str">
        <f>IF(ISBLANK(Wärme[[#This Row],[Wert 
(Zahl)]]),"",IFERROR(Wärme[[#This Row],[Scope 2 CH4 '[kg CH4']]]*IFERROR(VLOOKUP("CH4",GWP_100[],4,FALSE),0),0))</f>
        <v/>
      </c>
      <c r="BO44" s="15" t="str">
        <f>IF(ISBLANK(Wärme[[#This Row],[Wert 
(Zahl)]]),"",IFERROR(Wärme[[#This Row],[Scope 2 N2O '[kg N2O']]]*IFERROR(VLOOKUP("N2O",GWP_100[],5,FALSE),0),0))</f>
        <v/>
      </c>
      <c r="BP44" s="15" t="str">
        <f>IF(ISBLANK(Wärme[[#This Row],[Wert 
(Zahl)]]),"",IFERROR(Wärme[[#This Row],[Scope 2 HFCs '[kg HFCs']]]*IFERROR(VLOOKUP(Wärme[[#This Row],[Emissionsquelle/Aktivität (Dropdown)]],GWP_100[],6,FALSE),0),0))</f>
        <v/>
      </c>
      <c r="BQ44" s="15" t="str">
        <f>IF(ISBLANK(Wärme[[#This Row],[Wert 
(Zahl)]]),"",IFERROR(Wärme[[#This Row],[Scope 2 PFCs '[kg PFCs']]]*IFERROR(VLOOKUP(Wärme[[#This Row],[Emissionsquelle/Aktivität (Dropdown)]],GWP_100[],7,FALSE),0),0))</f>
        <v/>
      </c>
      <c r="BR44" s="15" t="str">
        <f>IF(ISBLANK(Wärme[[#This Row],[Wert 
(Zahl)]]),"",IFERROR(Wärme[[#This Row],[Scope 2 SF6 '[kg SF6']]]*IFERROR(VLOOKUP("SF6",GWP_100[],8,FALSE),0),0))</f>
        <v/>
      </c>
      <c r="BS44" s="15" t="str">
        <f>IF(ISBLANK(Wärme[[#This Row],[Wert 
(Zahl)]]),"",IFERROR(Wärme[[#This Row],[Scope 2 NF3 '[kg NF3']]]*IFERROR(VLOOKUP("NF3",GWP_100[],9,FALSE),0),0))</f>
        <v/>
      </c>
      <c r="BT44" s="15" t="str">
        <f>IF(ISBLANK(Wärme[[#This Row],[Wert 
(Zahl)]]),"",IFERROR(Wärme[[#This Row],[Scope 2 non-Kyoto '[kg non-Kyoto gas']]]*IFERROR(VLOOKUP(Wärme[[#This Row],[Emissionsquelle/Aktivität (Dropdown)]],GWP_100[],10,FALSE),0),0))</f>
        <v/>
      </c>
    </row>
    <row r="45" spans="2:72" s="89" customFormat="1" x14ac:dyDescent="0.35">
      <c r="B45" s="604"/>
      <c r="C45" s="10" t="str">
        <f t="shared" si="0"/>
        <v>Wärme</v>
      </c>
      <c r="D45" s="90"/>
      <c r="E45" s="90"/>
      <c r="F45" s="288"/>
      <c r="G45" s="10" t="str">
        <f>IFERROR(VLOOKUP(Wärme[[#This Row],[Thema_Bezeichung]],EFs_Wärme[],4,FALSE),"")</f>
        <v/>
      </c>
      <c r="H45" s="90"/>
      <c r="I45" s="90"/>
      <c r="J45" s="90"/>
      <c r="K45" s="90"/>
      <c r="L45" s="284" t="str">
        <f>IF(ISBLANK(Wärme[[#This Row],[Wert 
(Zahl)]]),"", SUM(Wärme[[#This Row],[Scope 1 CO2e '[kg CO2e']]:[Scope 3 CO2e '[kg CO2e']]]))</f>
        <v/>
      </c>
      <c r="M45" s="158"/>
      <c r="N45" s="158"/>
      <c r="O45" s="15" t="str">
        <f>IF(ISBLANK(Wärme[[#This Row],[Emissionsquelle/Aktivität (Dropdown)]]),"",CONCATENATE(Wärme[[#This Row],[Sektor_Thema]]," - ",Wärme[[#This Row],[Emissionsquelle/Aktivität (Dropdown)]]))</f>
        <v/>
      </c>
      <c r="P45" s="15" t="str">
        <f>IF(ISBLANK(Wärme[[#This Row],[Emissionsquelle/Aktivität (Dropdown)]]),"",AND(Wärme[[#This Row],[Emissionsquelle/Aktivität (Dropdown)]]="Fernwärme (Wert Energieversorger)",ISNUMBER(Wärme[[#This Row],[Fernwärme Eigenfaktor Scope 2
'[g CO2e/kWh']
(falls zutreffend)]])))</f>
        <v/>
      </c>
      <c r="Q45" s="15" t="str">
        <f>IFERROR(VLOOKUP(Wärme[[#This Row],[Thema_Bezeichung]],EFs_Wärme[],5,FALSE),"")</f>
        <v/>
      </c>
      <c r="R45" s="15" t="str">
        <f>IFERROR(VLOOKUP(Wärme[[#This Row],[Thema_Bezeichung]],EFs_Wärme[],6,FALSE),"")</f>
        <v/>
      </c>
      <c r="S45" s="15" t="str">
        <f>IFERROR(VLOOKUP(Wärme[[#This Row],[Thema_Bezeichung]],EFs_Wärme[],7,FALSE),"")</f>
        <v/>
      </c>
      <c r="T45" s="15" t="str">
        <f>IFERROR(VLOOKUP(Wärme[[#This Row],[Thema_Bezeichung]],EFs_Wärme[],8,FALSE),"")</f>
        <v/>
      </c>
      <c r="U45" s="15" t="str">
        <f>IFERROR(VLOOKUP(Wärme[[#This Row],[Thema_Bezeichung]],EFs_Wärme[],9,FALSE),"")</f>
        <v/>
      </c>
      <c r="V45" s="15" t="str">
        <f>IFERROR(VLOOKUP(Wärme[[#This Row],[Thema_Bezeichung]],EFs_Wärme[],10,FALSE),"")</f>
        <v/>
      </c>
      <c r="W45" s="15" t="str">
        <f>IFERROR(VLOOKUP(Wärme[[#This Row],[Thema_Bezeichung]],EFs_Wärme[],11,FALSE),"")</f>
        <v/>
      </c>
      <c r="X45" s="15" t="str">
        <f>IFERROR(VLOOKUP(Wärme[[#This Row],[Thema_Bezeichung]],EFs_Wärme[],12,FALSE),"")</f>
        <v/>
      </c>
      <c r="Y45" s="15" t="str">
        <f>IFERROR(VLOOKUP(Wärme[[#This Row],[Thema_Bezeichung]],EFs_Wärme[],13,FALSE),"")</f>
        <v/>
      </c>
      <c r="Z45" s="15" t="str">
        <f>IFERROR(VLOOKUP(Wärme[[#This Row],[Thema_Bezeichung]],EFs_Wärme[],14,FALSE),"")</f>
        <v/>
      </c>
      <c r="AA45" s="15" t="str">
        <f>IF(Wärme[[#This Row],[Fernwärme - Eigenfaktor angegeben?]]=TRUE,Wärme[[#This Row],[Fernwärme Eigenfaktor Scope 2
'[g CO2e/kWh']
(falls zutreffend)]]/1000,IFERROR(VLOOKUP(Wärme[[#This Row],[Thema_Bezeichung]],EFs_Wärme[],15,FALSE),""))</f>
        <v/>
      </c>
      <c r="AB45" s="15" t="str">
        <f>IFERROR(VLOOKUP(Wärme[[#This Row],[Thema_Bezeichung]],EFs_Wärme[],16,FALSE),"")</f>
        <v/>
      </c>
      <c r="AC45" s="15" t="str">
        <f>IFERROR(VLOOKUP(Wärme[[#This Row],[Thema_Bezeichung]],EFs_Wärme[],17,FALSE),"")</f>
        <v/>
      </c>
      <c r="AD45" s="15" t="str">
        <f>IFERROR(VLOOKUP(Wärme[[#This Row],[Thema_Bezeichung]],EFs_Wärme[],18,FALSE),"")</f>
        <v/>
      </c>
      <c r="AE45" s="15" t="str">
        <f>IFERROR(VLOOKUP(Wärme[[#This Row],[Thema_Bezeichung]],EFs_Wärme[],19,FALSE),"")</f>
        <v/>
      </c>
      <c r="AF45" s="15" t="str">
        <f>IFERROR(VLOOKUP(Wärme[[#This Row],[Thema_Bezeichung]],EFs_Wärme[],20,FALSE),"")</f>
        <v/>
      </c>
      <c r="AG45" s="15" t="str">
        <f>IFERROR(VLOOKUP(Wärme[[#This Row],[Thema_Bezeichung]],EFs_Wärme[],21,FALSE),"")</f>
        <v/>
      </c>
      <c r="AH45" s="15" t="str">
        <f>IFERROR(VLOOKUP(Wärme[[#This Row],[Thema_Bezeichung]],EFs_Wärme[],22,FALSE),"")</f>
        <v/>
      </c>
      <c r="AI45" s="15" t="str">
        <f>IFERROR(VLOOKUP(Wärme[[#This Row],[Thema_Bezeichung]],EFs_Wärme[],23,FALSE),"")</f>
        <v/>
      </c>
      <c r="AJ45" s="15" t="str">
        <f>IFERROR(VLOOKUP(Wärme[[#This Row],[Thema_Bezeichung]],EFs_Wärme[],24,FALSE),"")</f>
        <v/>
      </c>
      <c r="AK45" s="15" t="str">
        <f>IFERROR(Wärme[[#This Row],[Wert 
(Zahl)]]*Wärme[[#This Row],[EF Scope 1 CO2e
(kg CO2e/Einheit)]],"")</f>
        <v/>
      </c>
      <c r="AL45" s="15" t="str">
        <f>IFERROR(Wärme[[#This Row],[Wert 
(Zahl)]]*Wärme[[#This Row],[EF Scope 2 CO2e
(kg CO2e/Einheit)]],"")</f>
        <v/>
      </c>
      <c r="AM45" s="15" t="str">
        <f>IFERROR(Wärme[[#This Row],[Wert 
(Zahl)]]*Wärme[[#This Row],[EF Scope 3 CO2e
(kg CO2e/Einheit)]],"")</f>
        <v/>
      </c>
      <c r="AN45" s="15" t="str">
        <f>IFERROR(Wärme[[#This Row],[Wert 
(Zahl)]]*Wärme[[#This Row],[EF Scope 1 CO2 biogen
(kg CO2 /Einheit)]],"")</f>
        <v/>
      </c>
      <c r="AO45" s="15" t="str">
        <f>IFERROR(Wärme[[#This Row],[Wert 
(Zahl)]]*Wärme[[#This Row],[EF Scope 1 CO2
(kg CO2/Einheit)]],"")</f>
        <v/>
      </c>
      <c r="AP45" s="15" t="str">
        <f>IFERROR(Wärme[[#This Row],[Wert 
(Zahl)]]*Wärme[[#This Row],[EF Scope 1 CH4
(kg CH4/Einheit)]],"")</f>
        <v/>
      </c>
      <c r="AQ45" s="15" t="str">
        <f>IFERROR(Wärme[[#This Row],[Wert 
(Zahl)]]*Wärme[[#This Row],[EF Scope 1 N2O
(kg N2O/Einheit)]],"")</f>
        <v/>
      </c>
      <c r="AR45" s="15" t="str">
        <f>IFERROR(Wärme[[#This Row],[Wert 
(Zahl)]]*Wärme[[#This Row],[EF Scope 1 HFCs
(kg HFCs/Einheit)]],"")</f>
        <v/>
      </c>
      <c r="AS45" s="15" t="str">
        <f>IFERROR(Wärme[[#This Row],[Wert 
(Zahl)]]*Wärme[[#This Row],[EF Scope 1 PFCs
(kg PFCs/Einheit)]],"")</f>
        <v/>
      </c>
      <c r="AT45" s="15" t="str">
        <f>IFERROR(Wärme[[#This Row],[Wert 
(Zahl)]]*Wärme[[#This Row],[EF Scope 1 SF6
(kg SF6/Einheit)]],"")</f>
        <v/>
      </c>
      <c r="AU45" s="15" t="str">
        <f>IFERROR(Wärme[[#This Row],[Wert 
(Zahl)]]*Wärme[[#This Row],[EF Scope 1 NF3
(kg NF3/Einheit)]],"")</f>
        <v/>
      </c>
      <c r="AV45" s="15" t="str">
        <f>IFERROR(Wärme[[#This Row],[Wert 
(Zahl)]]*Wärme[[#This Row],[EF Scope 1 Nicht-Kyoto-Gase (kg Nicht-Kyoto-Gase/Einheit)]],"")</f>
        <v/>
      </c>
      <c r="AW45" s="15" t="str">
        <f>IFERROR(Wärme[[#This Row],[Wert 
(Zahl)]]*Wärme[[#This Row],[EF Scope 2 CO2
(kg CO2/Einheit)]],"")</f>
        <v/>
      </c>
      <c r="AX45" s="15" t="str">
        <f>IFERROR(Wärme[[#This Row],[Wert 
(Zahl)]]*Wärme[[#This Row],[EF Scope 2 CH4
(kg CH4/Einheit)]],"")</f>
        <v/>
      </c>
      <c r="AY45" s="15" t="str">
        <f>IFERROR(Wärme[[#This Row],[Wert 
(Zahl)]]*Wärme[[#This Row],[EF Scope 2 N2O
(kg N2O/Einheit)]],"")</f>
        <v/>
      </c>
      <c r="AZ45" s="15" t="str">
        <f>IFERROR(Wärme[[#This Row],[Wert 
(Zahl)]]*Wärme[[#This Row],[EF Scope 2 HFCs
(kg HFCs/Einheit)]],"")</f>
        <v/>
      </c>
      <c r="BA45" s="15" t="str">
        <f>IFERROR(Wärme[[#This Row],[Wert 
(Zahl)]]*Wärme[[#This Row],[EF Scope 2 PFCs
(kg PFCs/Einheit)]],"")</f>
        <v/>
      </c>
      <c r="BB45" s="15" t="str">
        <f>IFERROR(Wärme[[#This Row],[Wert 
(Zahl)]]*Wärme[[#This Row],[EF Scope 2 SF6
(kg SF6/Einheit)]],"")</f>
        <v/>
      </c>
      <c r="BC45" s="15" t="str">
        <f>IFERROR(Wärme[[#This Row],[Wert 
(Zahl)]]*Wärme[[#This Row],[EF Scope 2 NF3
(kg NF3/Einheit)]],"")</f>
        <v/>
      </c>
      <c r="BD45" s="15" t="str">
        <f>IFERROR(Wärme[[#This Row],[Wert 
(Zahl)]]*Wärme[[#This Row],[EF Scope 2 Nicht-Kyoto-Gase (kg Nicht-Kyoto-Gase/Einheit)]],"")</f>
        <v/>
      </c>
      <c r="BE45" s="15" t="str">
        <f>IF(ISBLANK(Wärme[[#This Row],[Wert 
(Zahl)]]),"",IFERROR(Wärme[[#This Row],[Scope 1 CO2 '[kg CO2']]]*IFERROR(VLOOKUP("CO2",GWP_100[],3,FALSE),0),0))</f>
        <v/>
      </c>
      <c r="BF45" s="15" t="str">
        <f>IF(ISBLANK(Wärme[[#This Row],[Wert 
(Zahl)]]),"",IFERROR(Wärme[[#This Row],[Scope 1 CH4 '[kg CH4']]]*IFERROR(VLOOKUP("CH4",GWP_100[],4,FALSE),0),0))</f>
        <v/>
      </c>
      <c r="BG45" s="15" t="str">
        <f>IF(ISBLANK(Wärme[[#This Row],[Wert 
(Zahl)]]),"",IFERROR(Wärme[[#This Row],[Scope 1 N2O '[kg N2O']]]*IFERROR(VLOOKUP("N2O",GWP_100[],5,FALSE),0),0))</f>
        <v/>
      </c>
      <c r="BH45" s="15" t="str">
        <f>IF(ISBLANK(Wärme[[#This Row],[Wert 
(Zahl)]]),"",IFERROR(Wärme[[#This Row],[Scope 1 HFCs '[kg HFCs']]]*IFERROR(VLOOKUP(Wärme[[#This Row],[Emissionsquelle/Aktivität (Dropdown)]],GWP_100[],6,FALSE),0),0))</f>
        <v/>
      </c>
      <c r="BI45" s="15" t="str">
        <f>IF(ISBLANK(Wärme[[#This Row],[Wert 
(Zahl)]]),"",IFERROR(Wärme[[#This Row],[Scope 1 PFCs '[kg PFCs']]]*IFERROR(VLOOKUP(Wärme[[#This Row],[Emissionsquelle/Aktivität (Dropdown)]],GWP_100[],7,FALSE),0),0))</f>
        <v/>
      </c>
      <c r="BJ45" s="15" t="str">
        <f>IF(ISBLANK(Wärme[[#This Row],[Wert 
(Zahl)]]),"",IFERROR(Wärme[[#This Row],[Scope 1 SF6 '[kg SF6']]]*IFERROR(VLOOKUP("SF6",GWP_100[],8,FALSE),0),0))</f>
        <v/>
      </c>
      <c r="BK45" s="15" t="str">
        <f>IF(ISBLANK(Wärme[[#This Row],[Wert 
(Zahl)]]),"",IFERROR(Wärme[[#This Row],[Scope 1 NF3 '[kg NF3']]]*IFERROR(VLOOKUP("NF3",GWP_100[],9,FALSE),0),0))</f>
        <v/>
      </c>
      <c r="BL45" s="15" t="str">
        <f>IF(ISBLANK(Wärme[[#This Row],[Wert 
(Zahl)]]),"",IFERROR(Wärme[[#This Row],[Scope 1 non-Kyoto '[kg non-Kyoto gas']]]*IFERROR(VLOOKUP(Wärme[[#This Row],[Emissionsquelle/Aktivität (Dropdown)]],GWP_100[],10,FALSE),0),0))</f>
        <v/>
      </c>
      <c r="BM45" s="15" t="str">
        <f>IF(ISBLANK(Wärme[[#This Row],[Wert 
(Zahl)]]),"",IFERROR(Wärme[[#This Row],[Scope 2 CO2 '[kg CO2']]]*IFERROR(VLOOKUP("CO2",GWP_100[],3,FALSE),0),0))</f>
        <v/>
      </c>
      <c r="BN45" s="15" t="str">
        <f>IF(ISBLANK(Wärme[[#This Row],[Wert 
(Zahl)]]),"",IFERROR(Wärme[[#This Row],[Scope 2 CH4 '[kg CH4']]]*IFERROR(VLOOKUP("CH4",GWP_100[],4,FALSE),0),0))</f>
        <v/>
      </c>
      <c r="BO45" s="15" t="str">
        <f>IF(ISBLANK(Wärme[[#This Row],[Wert 
(Zahl)]]),"",IFERROR(Wärme[[#This Row],[Scope 2 N2O '[kg N2O']]]*IFERROR(VLOOKUP("N2O",GWP_100[],5,FALSE),0),0))</f>
        <v/>
      </c>
      <c r="BP45" s="15" t="str">
        <f>IF(ISBLANK(Wärme[[#This Row],[Wert 
(Zahl)]]),"",IFERROR(Wärme[[#This Row],[Scope 2 HFCs '[kg HFCs']]]*IFERROR(VLOOKUP(Wärme[[#This Row],[Emissionsquelle/Aktivität (Dropdown)]],GWP_100[],6,FALSE),0),0))</f>
        <v/>
      </c>
      <c r="BQ45" s="15" t="str">
        <f>IF(ISBLANK(Wärme[[#This Row],[Wert 
(Zahl)]]),"",IFERROR(Wärme[[#This Row],[Scope 2 PFCs '[kg PFCs']]]*IFERROR(VLOOKUP(Wärme[[#This Row],[Emissionsquelle/Aktivität (Dropdown)]],GWP_100[],7,FALSE),0),0))</f>
        <v/>
      </c>
      <c r="BR45" s="15" t="str">
        <f>IF(ISBLANK(Wärme[[#This Row],[Wert 
(Zahl)]]),"",IFERROR(Wärme[[#This Row],[Scope 2 SF6 '[kg SF6']]]*IFERROR(VLOOKUP("SF6",GWP_100[],8,FALSE),0),0))</f>
        <v/>
      </c>
      <c r="BS45" s="15" t="str">
        <f>IF(ISBLANK(Wärme[[#This Row],[Wert 
(Zahl)]]),"",IFERROR(Wärme[[#This Row],[Scope 2 NF3 '[kg NF3']]]*IFERROR(VLOOKUP("NF3",GWP_100[],9,FALSE),0),0))</f>
        <v/>
      </c>
      <c r="BT45" s="15" t="str">
        <f>IF(ISBLANK(Wärme[[#This Row],[Wert 
(Zahl)]]),"",IFERROR(Wärme[[#This Row],[Scope 2 non-Kyoto '[kg non-Kyoto gas']]]*IFERROR(VLOOKUP(Wärme[[#This Row],[Emissionsquelle/Aktivität (Dropdown)]],GWP_100[],10,FALSE),0),0))</f>
        <v/>
      </c>
    </row>
    <row r="46" spans="2:72" s="89" customFormat="1" x14ac:dyDescent="0.35">
      <c r="B46" s="604"/>
      <c r="C46" s="10" t="str">
        <f t="shared" si="0"/>
        <v>Wärme</v>
      </c>
      <c r="D46" s="90"/>
      <c r="E46" s="90"/>
      <c r="F46" s="288"/>
      <c r="G46" s="10" t="str">
        <f>IFERROR(VLOOKUP(Wärme[[#This Row],[Thema_Bezeichung]],EFs_Wärme[],4,FALSE),"")</f>
        <v/>
      </c>
      <c r="H46" s="90"/>
      <c r="I46" s="90"/>
      <c r="J46" s="90"/>
      <c r="K46" s="90"/>
      <c r="L46" s="284" t="str">
        <f>IF(ISBLANK(Wärme[[#This Row],[Wert 
(Zahl)]]),"", SUM(Wärme[[#This Row],[Scope 1 CO2e '[kg CO2e']]:[Scope 3 CO2e '[kg CO2e']]]))</f>
        <v/>
      </c>
      <c r="M46" s="158"/>
      <c r="N46" s="158"/>
      <c r="O46" s="15" t="str">
        <f>IF(ISBLANK(Wärme[[#This Row],[Emissionsquelle/Aktivität (Dropdown)]]),"",CONCATENATE(Wärme[[#This Row],[Sektor_Thema]]," - ",Wärme[[#This Row],[Emissionsquelle/Aktivität (Dropdown)]]))</f>
        <v/>
      </c>
      <c r="P46" s="15" t="str">
        <f>IF(ISBLANK(Wärme[[#This Row],[Emissionsquelle/Aktivität (Dropdown)]]),"",AND(Wärme[[#This Row],[Emissionsquelle/Aktivität (Dropdown)]]="Fernwärme (Wert Energieversorger)",ISNUMBER(Wärme[[#This Row],[Fernwärme Eigenfaktor Scope 2
'[g CO2e/kWh']
(falls zutreffend)]])))</f>
        <v/>
      </c>
      <c r="Q46" s="15" t="str">
        <f>IFERROR(VLOOKUP(Wärme[[#This Row],[Thema_Bezeichung]],EFs_Wärme[],5,FALSE),"")</f>
        <v/>
      </c>
      <c r="R46" s="15" t="str">
        <f>IFERROR(VLOOKUP(Wärme[[#This Row],[Thema_Bezeichung]],EFs_Wärme[],6,FALSE),"")</f>
        <v/>
      </c>
      <c r="S46" s="15" t="str">
        <f>IFERROR(VLOOKUP(Wärme[[#This Row],[Thema_Bezeichung]],EFs_Wärme[],7,FALSE),"")</f>
        <v/>
      </c>
      <c r="T46" s="15" t="str">
        <f>IFERROR(VLOOKUP(Wärme[[#This Row],[Thema_Bezeichung]],EFs_Wärme[],8,FALSE),"")</f>
        <v/>
      </c>
      <c r="U46" s="15" t="str">
        <f>IFERROR(VLOOKUP(Wärme[[#This Row],[Thema_Bezeichung]],EFs_Wärme[],9,FALSE),"")</f>
        <v/>
      </c>
      <c r="V46" s="15" t="str">
        <f>IFERROR(VLOOKUP(Wärme[[#This Row],[Thema_Bezeichung]],EFs_Wärme[],10,FALSE),"")</f>
        <v/>
      </c>
      <c r="W46" s="15" t="str">
        <f>IFERROR(VLOOKUP(Wärme[[#This Row],[Thema_Bezeichung]],EFs_Wärme[],11,FALSE),"")</f>
        <v/>
      </c>
      <c r="X46" s="15" t="str">
        <f>IFERROR(VLOOKUP(Wärme[[#This Row],[Thema_Bezeichung]],EFs_Wärme[],12,FALSE),"")</f>
        <v/>
      </c>
      <c r="Y46" s="15" t="str">
        <f>IFERROR(VLOOKUP(Wärme[[#This Row],[Thema_Bezeichung]],EFs_Wärme[],13,FALSE),"")</f>
        <v/>
      </c>
      <c r="Z46" s="15" t="str">
        <f>IFERROR(VLOOKUP(Wärme[[#This Row],[Thema_Bezeichung]],EFs_Wärme[],14,FALSE),"")</f>
        <v/>
      </c>
      <c r="AA46" s="15" t="str">
        <f>IF(Wärme[[#This Row],[Fernwärme - Eigenfaktor angegeben?]]=TRUE,Wärme[[#This Row],[Fernwärme Eigenfaktor Scope 2
'[g CO2e/kWh']
(falls zutreffend)]]/1000,IFERROR(VLOOKUP(Wärme[[#This Row],[Thema_Bezeichung]],EFs_Wärme[],15,FALSE),""))</f>
        <v/>
      </c>
      <c r="AB46" s="15" t="str">
        <f>IFERROR(VLOOKUP(Wärme[[#This Row],[Thema_Bezeichung]],EFs_Wärme[],16,FALSE),"")</f>
        <v/>
      </c>
      <c r="AC46" s="15" t="str">
        <f>IFERROR(VLOOKUP(Wärme[[#This Row],[Thema_Bezeichung]],EFs_Wärme[],17,FALSE),"")</f>
        <v/>
      </c>
      <c r="AD46" s="15" t="str">
        <f>IFERROR(VLOOKUP(Wärme[[#This Row],[Thema_Bezeichung]],EFs_Wärme[],18,FALSE),"")</f>
        <v/>
      </c>
      <c r="AE46" s="15" t="str">
        <f>IFERROR(VLOOKUP(Wärme[[#This Row],[Thema_Bezeichung]],EFs_Wärme[],19,FALSE),"")</f>
        <v/>
      </c>
      <c r="AF46" s="15" t="str">
        <f>IFERROR(VLOOKUP(Wärme[[#This Row],[Thema_Bezeichung]],EFs_Wärme[],20,FALSE),"")</f>
        <v/>
      </c>
      <c r="AG46" s="15" t="str">
        <f>IFERROR(VLOOKUP(Wärme[[#This Row],[Thema_Bezeichung]],EFs_Wärme[],21,FALSE),"")</f>
        <v/>
      </c>
      <c r="AH46" s="15" t="str">
        <f>IFERROR(VLOOKUP(Wärme[[#This Row],[Thema_Bezeichung]],EFs_Wärme[],22,FALSE),"")</f>
        <v/>
      </c>
      <c r="AI46" s="15" t="str">
        <f>IFERROR(VLOOKUP(Wärme[[#This Row],[Thema_Bezeichung]],EFs_Wärme[],23,FALSE),"")</f>
        <v/>
      </c>
      <c r="AJ46" s="15" t="str">
        <f>IFERROR(VLOOKUP(Wärme[[#This Row],[Thema_Bezeichung]],EFs_Wärme[],24,FALSE),"")</f>
        <v/>
      </c>
      <c r="AK46" s="15" t="str">
        <f>IFERROR(Wärme[[#This Row],[Wert 
(Zahl)]]*Wärme[[#This Row],[EF Scope 1 CO2e
(kg CO2e/Einheit)]],"")</f>
        <v/>
      </c>
      <c r="AL46" s="15" t="str">
        <f>IFERROR(Wärme[[#This Row],[Wert 
(Zahl)]]*Wärme[[#This Row],[EF Scope 2 CO2e
(kg CO2e/Einheit)]],"")</f>
        <v/>
      </c>
      <c r="AM46" s="15" t="str">
        <f>IFERROR(Wärme[[#This Row],[Wert 
(Zahl)]]*Wärme[[#This Row],[EF Scope 3 CO2e
(kg CO2e/Einheit)]],"")</f>
        <v/>
      </c>
      <c r="AN46" s="15" t="str">
        <f>IFERROR(Wärme[[#This Row],[Wert 
(Zahl)]]*Wärme[[#This Row],[EF Scope 1 CO2 biogen
(kg CO2 /Einheit)]],"")</f>
        <v/>
      </c>
      <c r="AO46" s="15" t="str">
        <f>IFERROR(Wärme[[#This Row],[Wert 
(Zahl)]]*Wärme[[#This Row],[EF Scope 1 CO2
(kg CO2/Einheit)]],"")</f>
        <v/>
      </c>
      <c r="AP46" s="15" t="str">
        <f>IFERROR(Wärme[[#This Row],[Wert 
(Zahl)]]*Wärme[[#This Row],[EF Scope 1 CH4
(kg CH4/Einheit)]],"")</f>
        <v/>
      </c>
      <c r="AQ46" s="15" t="str">
        <f>IFERROR(Wärme[[#This Row],[Wert 
(Zahl)]]*Wärme[[#This Row],[EF Scope 1 N2O
(kg N2O/Einheit)]],"")</f>
        <v/>
      </c>
      <c r="AR46" s="15" t="str">
        <f>IFERROR(Wärme[[#This Row],[Wert 
(Zahl)]]*Wärme[[#This Row],[EF Scope 1 HFCs
(kg HFCs/Einheit)]],"")</f>
        <v/>
      </c>
      <c r="AS46" s="15" t="str">
        <f>IFERROR(Wärme[[#This Row],[Wert 
(Zahl)]]*Wärme[[#This Row],[EF Scope 1 PFCs
(kg PFCs/Einheit)]],"")</f>
        <v/>
      </c>
      <c r="AT46" s="15" t="str">
        <f>IFERROR(Wärme[[#This Row],[Wert 
(Zahl)]]*Wärme[[#This Row],[EF Scope 1 SF6
(kg SF6/Einheit)]],"")</f>
        <v/>
      </c>
      <c r="AU46" s="15" t="str">
        <f>IFERROR(Wärme[[#This Row],[Wert 
(Zahl)]]*Wärme[[#This Row],[EF Scope 1 NF3
(kg NF3/Einheit)]],"")</f>
        <v/>
      </c>
      <c r="AV46" s="15" t="str">
        <f>IFERROR(Wärme[[#This Row],[Wert 
(Zahl)]]*Wärme[[#This Row],[EF Scope 1 Nicht-Kyoto-Gase (kg Nicht-Kyoto-Gase/Einheit)]],"")</f>
        <v/>
      </c>
      <c r="AW46" s="15" t="str">
        <f>IFERROR(Wärme[[#This Row],[Wert 
(Zahl)]]*Wärme[[#This Row],[EF Scope 2 CO2
(kg CO2/Einheit)]],"")</f>
        <v/>
      </c>
      <c r="AX46" s="15" t="str">
        <f>IFERROR(Wärme[[#This Row],[Wert 
(Zahl)]]*Wärme[[#This Row],[EF Scope 2 CH4
(kg CH4/Einheit)]],"")</f>
        <v/>
      </c>
      <c r="AY46" s="15" t="str">
        <f>IFERROR(Wärme[[#This Row],[Wert 
(Zahl)]]*Wärme[[#This Row],[EF Scope 2 N2O
(kg N2O/Einheit)]],"")</f>
        <v/>
      </c>
      <c r="AZ46" s="15" t="str">
        <f>IFERROR(Wärme[[#This Row],[Wert 
(Zahl)]]*Wärme[[#This Row],[EF Scope 2 HFCs
(kg HFCs/Einheit)]],"")</f>
        <v/>
      </c>
      <c r="BA46" s="15" t="str">
        <f>IFERROR(Wärme[[#This Row],[Wert 
(Zahl)]]*Wärme[[#This Row],[EF Scope 2 PFCs
(kg PFCs/Einheit)]],"")</f>
        <v/>
      </c>
      <c r="BB46" s="15" t="str">
        <f>IFERROR(Wärme[[#This Row],[Wert 
(Zahl)]]*Wärme[[#This Row],[EF Scope 2 SF6
(kg SF6/Einheit)]],"")</f>
        <v/>
      </c>
      <c r="BC46" s="15" t="str">
        <f>IFERROR(Wärme[[#This Row],[Wert 
(Zahl)]]*Wärme[[#This Row],[EF Scope 2 NF3
(kg NF3/Einheit)]],"")</f>
        <v/>
      </c>
      <c r="BD46" s="15" t="str">
        <f>IFERROR(Wärme[[#This Row],[Wert 
(Zahl)]]*Wärme[[#This Row],[EF Scope 2 Nicht-Kyoto-Gase (kg Nicht-Kyoto-Gase/Einheit)]],"")</f>
        <v/>
      </c>
      <c r="BE46" s="15" t="str">
        <f>IF(ISBLANK(Wärme[[#This Row],[Wert 
(Zahl)]]),"",IFERROR(Wärme[[#This Row],[Scope 1 CO2 '[kg CO2']]]*IFERROR(VLOOKUP("CO2",GWP_100[],3,FALSE),0),0))</f>
        <v/>
      </c>
      <c r="BF46" s="15" t="str">
        <f>IF(ISBLANK(Wärme[[#This Row],[Wert 
(Zahl)]]),"",IFERROR(Wärme[[#This Row],[Scope 1 CH4 '[kg CH4']]]*IFERROR(VLOOKUP("CH4",GWP_100[],4,FALSE),0),0))</f>
        <v/>
      </c>
      <c r="BG46" s="15" t="str">
        <f>IF(ISBLANK(Wärme[[#This Row],[Wert 
(Zahl)]]),"",IFERROR(Wärme[[#This Row],[Scope 1 N2O '[kg N2O']]]*IFERROR(VLOOKUP("N2O",GWP_100[],5,FALSE),0),0))</f>
        <v/>
      </c>
      <c r="BH46" s="15" t="str">
        <f>IF(ISBLANK(Wärme[[#This Row],[Wert 
(Zahl)]]),"",IFERROR(Wärme[[#This Row],[Scope 1 HFCs '[kg HFCs']]]*IFERROR(VLOOKUP(Wärme[[#This Row],[Emissionsquelle/Aktivität (Dropdown)]],GWP_100[],6,FALSE),0),0))</f>
        <v/>
      </c>
      <c r="BI46" s="15" t="str">
        <f>IF(ISBLANK(Wärme[[#This Row],[Wert 
(Zahl)]]),"",IFERROR(Wärme[[#This Row],[Scope 1 PFCs '[kg PFCs']]]*IFERROR(VLOOKUP(Wärme[[#This Row],[Emissionsquelle/Aktivität (Dropdown)]],GWP_100[],7,FALSE),0),0))</f>
        <v/>
      </c>
      <c r="BJ46" s="15" t="str">
        <f>IF(ISBLANK(Wärme[[#This Row],[Wert 
(Zahl)]]),"",IFERROR(Wärme[[#This Row],[Scope 1 SF6 '[kg SF6']]]*IFERROR(VLOOKUP("SF6",GWP_100[],8,FALSE),0),0))</f>
        <v/>
      </c>
      <c r="BK46" s="15" t="str">
        <f>IF(ISBLANK(Wärme[[#This Row],[Wert 
(Zahl)]]),"",IFERROR(Wärme[[#This Row],[Scope 1 NF3 '[kg NF3']]]*IFERROR(VLOOKUP("NF3",GWP_100[],9,FALSE),0),0))</f>
        <v/>
      </c>
      <c r="BL46" s="15" t="str">
        <f>IF(ISBLANK(Wärme[[#This Row],[Wert 
(Zahl)]]),"",IFERROR(Wärme[[#This Row],[Scope 1 non-Kyoto '[kg non-Kyoto gas']]]*IFERROR(VLOOKUP(Wärme[[#This Row],[Emissionsquelle/Aktivität (Dropdown)]],GWP_100[],10,FALSE),0),0))</f>
        <v/>
      </c>
      <c r="BM46" s="15" t="str">
        <f>IF(ISBLANK(Wärme[[#This Row],[Wert 
(Zahl)]]),"",IFERROR(Wärme[[#This Row],[Scope 2 CO2 '[kg CO2']]]*IFERROR(VLOOKUP("CO2",GWP_100[],3,FALSE),0),0))</f>
        <v/>
      </c>
      <c r="BN46" s="15" t="str">
        <f>IF(ISBLANK(Wärme[[#This Row],[Wert 
(Zahl)]]),"",IFERROR(Wärme[[#This Row],[Scope 2 CH4 '[kg CH4']]]*IFERROR(VLOOKUP("CH4",GWP_100[],4,FALSE),0),0))</f>
        <v/>
      </c>
      <c r="BO46" s="15" t="str">
        <f>IF(ISBLANK(Wärme[[#This Row],[Wert 
(Zahl)]]),"",IFERROR(Wärme[[#This Row],[Scope 2 N2O '[kg N2O']]]*IFERROR(VLOOKUP("N2O",GWP_100[],5,FALSE),0),0))</f>
        <v/>
      </c>
      <c r="BP46" s="15" t="str">
        <f>IF(ISBLANK(Wärme[[#This Row],[Wert 
(Zahl)]]),"",IFERROR(Wärme[[#This Row],[Scope 2 HFCs '[kg HFCs']]]*IFERROR(VLOOKUP(Wärme[[#This Row],[Emissionsquelle/Aktivität (Dropdown)]],GWP_100[],6,FALSE),0),0))</f>
        <v/>
      </c>
      <c r="BQ46" s="15" t="str">
        <f>IF(ISBLANK(Wärme[[#This Row],[Wert 
(Zahl)]]),"",IFERROR(Wärme[[#This Row],[Scope 2 PFCs '[kg PFCs']]]*IFERROR(VLOOKUP(Wärme[[#This Row],[Emissionsquelle/Aktivität (Dropdown)]],GWP_100[],7,FALSE),0),0))</f>
        <v/>
      </c>
      <c r="BR46" s="15" t="str">
        <f>IF(ISBLANK(Wärme[[#This Row],[Wert 
(Zahl)]]),"",IFERROR(Wärme[[#This Row],[Scope 2 SF6 '[kg SF6']]]*IFERROR(VLOOKUP("SF6",GWP_100[],8,FALSE),0),0))</f>
        <v/>
      </c>
      <c r="BS46" s="15" t="str">
        <f>IF(ISBLANK(Wärme[[#This Row],[Wert 
(Zahl)]]),"",IFERROR(Wärme[[#This Row],[Scope 2 NF3 '[kg NF3']]]*IFERROR(VLOOKUP("NF3",GWP_100[],9,FALSE),0),0))</f>
        <v/>
      </c>
      <c r="BT46" s="15" t="str">
        <f>IF(ISBLANK(Wärme[[#This Row],[Wert 
(Zahl)]]),"",IFERROR(Wärme[[#This Row],[Scope 2 non-Kyoto '[kg non-Kyoto gas']]]*IFERROR(VLOOKUP(Wärme[[#This Row],[Emissionsquelle/Aktivität (Dropdown)]],GWP_100[],10,FALSE),0),0))</f>
        <v/>
      </c>
    </row>
    <row r="47" spans="2:72" s="89" customFormat="1" x14ac:dyDescent="0.35">
      <c r="B47" s="604"/>
      <c r="C47" s="90" t="str">
        <f t="shared" si="0"/>
        <v>Wärme</v>
      </c>
      <c r="D47" s="90"/>
      <c r="E47" s="90"/>
      <c r="F47" s="288"/>
      <c r="G47" s="90" t="str">
        <f>IFERROR(VLOOKUP(Wärme[[#This Row],[Thema_Bezeichung]],EFs_Wärme[],4,FALSE),"")</f>
        <v/>
      </c>
      <c r="H47" s="90"/>
      <c r="I47" s="90"/>
      <c r="J47" s="90"/>
      <c r="K47" s="90"/>
      <c r="L47" s="285" t="str">
        <f>IF(ISBLANK(Wärme[[#This Row],[Wert 
(Zahl)]]),"", SUM(Wärme[[#This Row],[Scope 1 CO2e '[kg CO2e']]:[Scope 3 CO2e '[kg CO2e']]]))</f>
        <v/>
      </c>
      <c r="M47" s="159"/>
      <c r="N47" s="159"/>
      <c r="O47" s="94" t="str">
        <f>IF(ISBLANK(Wärme[[#This Row],[Emissionsquelle/Aktivität (Dropdown)]]),"",CONCATENATE(Wärme[[#This Row],[Sektor_Thema]]," - ",Wärme[[#This Row],[Emissionsquelle/Aktivität (Dropdown)]]))</f>
        <v/>
      </c>
      <c r="P47" s="94" t="str">
        <f>IF(ISBLANK(Wärme[[#This Row],[Emissionsquelle/Aktivität (Dropdown)]]),"",AND(Wärme[[#This Row],[Emissionsquelle/Aktivität (Dropdown)]]="Fernwärme (Wert Energieversorger)",ISNUMBER(Wärme[[#This Row],[Fernwärme Eigenfaktor Scope 2
'[g CO2e/kWh']
(falls zutreffend)]])))</f>
        <v/>
      </c>
      <c r="Q47" s="94" t="str">
        <f>IFERROR(VLOOKUP(Wärme[[#This Row],[Thema_Bezeichung]],EFs_Wärme[],5,FALSE),"")</f>
        <v/>
      </c>
      <c r="R47" s="94" t="str">
        <f>IFERROR(VLOOKUP(Wärme[[#This Row],[Thema_Bezeichung]],EFs_Wärme[],6,FALSE),"")</f>
        <v/>
      </c>
      <c r="S47" s="94" t="str">
        <f>IFERROR(VLOOKUP(Wärme[[#This Row],[Thema_Bezeichung]],EFs_Wärme[],7,FALSE),"")</f>
        <v/>
      </c>
      <c r="T47" s="94" t="str">
        <f>IFERROR(VLOOKUP(Wärme[[#This Row],[Thema_Bezeichung]],EFs_Wärme[],8,FALSE),"")</f>
        <v/>
      </c>
      <c r="U47" s="94" t="str">
        <f>IFERROR(VLOOKUP(Wärme[[#This Row],[Thema_Bezeichung]],EFs_Wärme[],9,FALSE),"")</f>
        <v/>
      </c>
      <c r="V47" s="94" t="str">
        <f>IFERROR(VLOOKUP(Wärme[[#This Row],[Thema_Bezeichung]],EFs_Wärme[],10,FALSE),"")</f>
        <v/>
      </c>
      <c r="W47" s="94" t="str">
        <f>IFERROR(VLOOKUP(Wärme[[#This Row],[Thema_Bezeichung]],EFs_Wärme[],11,FALSE),"")</f>
        <v/>
      </c>
      <c r="X47" s="94" t="str">
        <f>IFERROR(VLOOKUP(Wärme[[#This Row],[Thema_Bezeichung]],EFs_Wärme[],12,FALSE),"")</f>
        <v/>
      </c>
      <c r="Y47" s="94" t="str">
        <f>IFERROR(VLOOKUP(Wärme[[#This Row],[Thema_Bezeichung]],EFs_Wärme[],13,FALSE),"")</f>
        <v/>
      </c>
      <c r="Z47" s="94" t="str">
        <f>IFERROR(VLOOKUP(Wärme[[#This Row],[Thema_Bezeichung]],EFs_Wärme[],14,FALSE),"")</f>
        <v/>
      </c>
      <c r="AA47" s="94" t="str">
        <f>IF(Wärme[[#This Row],[Fernwärme - Eigenfaktor angegeben?]]=TRUE,Wärme[[#This Row],[Fernwärme Eigenfaktor Scope 2
'[g CO2e/kWh']
(falls zutreffend)]]/1000,IFERROR(VLOOKUP(Wärme[[#This Row],[Thema_Bezeichung]],EFs_Wärme[],15,FALSE),""))</f>
        <v/>
      </c>
      <c r="AB47" s="94" t="str">
        <f>IFERROR(VLOOKUP(Wärme[[#This Row],[Thema_Bezeichung]],EFs_Wärme[],16,FALSE),"")</f>
        <v/>
      </c>
      <c r="AC47" s="94" t="str">
        <f>IFERROR(VLOOKUP(Wärme[[#This Row],[Thema_Bezeichung]],EFs_Wärme[],17,FALSE),"")</f>
        <v/>
      </c>
      <c r="AD47" s="94" t="str">
        <f>IFERROR(VLOOKUP(Wärme[[#This Row],[Thema_Bezeichung]],EFs_Wärme[],18,FALSE),"")</f>
        <v/>
      </c>
      <c r="AE47" s="94" t="str">
        <f>IFERROR(VLOOKUP(Wärme[[#This Row],[Thema_Bezeichung]],EFs_Wärme[],19,FALSE),"")</f>
        <v/>
      </c>
      <c r="AF47" s="94" t="str">
        <f>IFERROR(VLOOKUP(Wärme[[#This Row],[Thema_Bezeichung]],EFs_Wärme[],20,FALSE),"")</f>
        <v/>
      </c>
      <c r="AG47" s="94" t="str">
        <f>IFERROR(VLOOKUP(Wärme[[#This Row],[Thema_Bezeichung]],EFs_Wärme[],21,FALSE),"")</f>
        <v/>
      </c>
      <c r="AH47" s="94" t="str">
        <f>IFERROR(VLOOKUP(Wärme[[#This Row],[Thema_Bezeichung]],EFs_Wärme[],22,FALSE),"")</f>
        <v/>
      </c>
      <c r="AI47" s="94" t="str">
        <f>IFERROR(VLOOKUP(Wärme[[#This Row],[Thema_Bezeichung]],EFs_Wärme[],23,FALSE),"")</f>
        <v/>
      </c>
      <c r="AJ47" s="94" t="str">
        <f>IFERROR(VLOOKUP(Wärme[[#This Row],[Thema_Bezeichung]],EFs_Wärme[],24,FALSE),"")</f>
        <v/>
      </c>
      <c r="AK47" s="94" t="str">
        <f>IFERROR(Wärme[[#This Row],[Wert 
(Zahl)]]*Wärme[[#This Row],[EF Scope 1 CO2e
(kg CO2e/Einheit)]],"")</f>
        <v/>
      </c>
      <c r="AL47" s="94" t="str">
        <f>IFERROR(Wärme[[#This Row],[Wert 
(Zahl)]]*Wärme[[#This Row],[EF Scope 2 CO2e
(kg CO2e/Einheit)]],"")</f>
        <v/>
      </c>
      <c r="AM47" s="94" t="str">
        <f>IFERROR(Wärme[[#This Row],[Wert 
(Zahl)]]*Wärme[[#This Row],[EF Scope 3 CO2e
(kg CO2e/Einheit)]],"")</f>
        <v/>
      </c>
      <c r="AN47" s="94" t="str">
        <f>IFERROR(Wärme[[#This Row],[Wert 
(Zahl)]]*Wärme[[#This Row],[EF Scope 1 CO2 biogen
(kg CO2 /Einheit)]],"")</f>
        <v/>
      </c>
      <c r="AO47" s="94" t="str">
        <f>IFERROR(Wärme[[#This Row],[Wert 
(Zahl)]]*Wärme[[#This Row],[EF Scope 1 CO2
(kg CO2/Einheit)]],"")</f>
        <v/>
      </c>
      <c r="AP47" s="94" t="str">
        <f>IFERROR(Wärme[[#This Row],[Wert 
(Zahl)]]*Wärme[[#This Row],[EF Scope 1 CH4
(kg CH4/Einheit)]],"")</f>
        <v/>
      </c>
      <c r="AQ47" s="94" t="str">
        <f>IFERROR(Wärme[[#This Row],[Wert 
(Zahl)]]*Wärme[[#This Row],[EF Scope 1 N2O
(kg N2O/Einheit)]],"")</f>
        <v/>
      </c>
      <c r="AR47" s="94" t="str">
        <f>IFERROR(Wärme[[#This Row],[Wert 
(Zahl)]]*Wärme[[#This Row],[EF Scope 1 HFCs
(kg HFCs/Einheit)]],"")</f>
        <v/>
      </c>
      <c r="AS47" s="94" t="str">
        <f>IFERROR(Wärme[[#This Row],[Wert 
(Zahl)]]*Wärme[[#This Row],[EF Scope 1 PFCs
(kg PFCs/Einheit)]],"")</f>
        <v/>
      </c>
      <c r="AT47" s="94" t="str">
        <f>IFERROR(Wärme[[#This Row],[Wert 
(Zahl)]]*Wärme[[#This Row],[EF Scope 1 SF6
(kg SF6/Einheit)]],"")</f>
        <v/>
      </c>
      <c r="AU47" s="94" t="str">
        <f>IFERROR(Wärme[[#This Row],[Wert 
(Zahl)]]*Wärme[[#This Row],[EF Scope 1 NF3
(kg NF3/Einheit)]],"")</f>
        <v/>
      </c>
      <c r="AV47" s="94" t="str">
        <f>IFERROR(Wärme[[#This Row],[Wert 
(Zahl)]]*Wärme[[#This Row],[EF Scope 1 Nicht-Kyoto-Gase (kg Nicht-Kyoto-Gase/Einheit)]],"")</f>
        <v/>
      </c>
      <c r="AW47" s="94" t="str">
        <f>IFERROR(Wärme[[#This Row],[Wert 
(Zahl)]]*Wärme[[#This Row],[EF Scope 2 CO2
(kg CO2/Einheit)]],"")</f>
        <v/>
      </c>
      <c r="AX47" s="94" t="str">
        <f>IFERROR(Wärme[[#This Row],[Wert 
(Zahl)]]*Wärme[[#This Row],[EF Scope 2 CH4
(kg CH4/Einheit)]],"")</f>
        <v/>
      </c>
      <c r="AY47" s="94" t="str">
        <f>IFERROR(Wärme[[#This Row],[Wert 
(Zahl)]]*Wärme[[#This Row],[EF Scope 2 N2O
(kg N2O/Einheit)]],"")</f>
        <v/>
      </c>
      <c r="AZ47" s="94" t="str">
        <f>IFERROR(Wärme[[#This Row],[Wert 
(Zahl)]]*Wärme[[#This Row],[EF Scope 2 HFCs
(kg HFCs/Einheit)]],"")</f>
        <v/>
      </c>
      <c r="BA47" s="94" t="str">
        <f>IFERROR(Wärme[[#This Row],[Wert 
(Zahl)]]*Wärme[[#This Row],[EF Scope 2 PFCs
(kg PFCs/Einheit)]],"")</f>
        <v/>
      </c>
      <c r="BB47" s="94" t="str">
        <f>IFERROR(Wärme[[#This Row],[Wert 
(Zahl)]]*Wärme[[#This Row],[EF Scope 2 SF6
(kg SF6/Einheit)]],"")</f>
        <v/>
      </c>
      <c r="BC47" s="94" t="str">
        <f>IFERROR(Wärme[[#This Row],[Wert 
(Zahl)]]*Wärme[[#This Row],[EF Scope 2 NF3
(kg NF3/Einheit)]],"")</f>
        <v/>
      </c>
      <c r="BD47" s="94" t="str">
        <f>IFERROR(Wärme[[#This Row],[Wert 
(Zahl)]]*Wärme[[#This Row],[EF Scope 2 Nicht-Kyoto-Gase (kg Nicht-Kyoto-Gase/Einheit)]],"")</f>
        <v/>
      </c>
      <c r="BE47" s="94" t="str">
        <f>IF(ISBLANK(Wärme[[#This Row],[Wert 
(Zahl)]]),"",IFERROR(Wärme[[#This Row],[Scope 1 CO2 '[kg CO2']]]*IFERROR(VLOOKUP("CO2",GWP_100[],3,FALSE),0),0))</f>
        <v/>
      </c>
      <c r="BF47" s="94" t="str">
        <f>IF(ISBLANK(Wärme[[#This Row],[Wert 
(Zahl)]]),"",IFERROR(Wärme[[#This Row],[Scope 1 CH4 '[kg CH4']]]*IFERROR(VLOOKUP("CH4",GWP_100[],4,FALSE),0),0))</f>
        <v/>
      </c>
      <c r="BG47" s="94" t="str">
        <f>IF(ISBLANK(Wärme[[#This Row],[Wert 
(Zahl)]]),"",IFERROR(Wärme[[#This Row],[Scope 1 N2O '[kg N2O']]]*IFERROR(VLOOKUP("N2O",GWP_100[],5,FALSE),0),0))</f>
        <v/>
      </c>
      <c r="BH47" s="94" t="str">
        <f>IF(ISBLANK(Wärme[[#This Row],[Wert 
(Zahl)]]),"",IFERROR(Wärme[[#This Row],[Scope 1 HFCs '[kg HFCs']]]*IFERROR(VLOOKUP(Wärme[[#This Row],[Emissionsquelle/Aktivität (Dropdown)]],GWP_100[],6,FALSE),0),0))</f>
        <v/>
      </c>
      <c r="BI47" s="94" t="str">
        <f>IF(ISBLANK(Wärme[[#This Row],[Wert 
(Zahl)]]),"",IFERROR(Wärme[[#This Row],[Scope 1 PFCs '[kg PFCs']]]*IFERROR(VLOOKUP(Wärme[[#This Row],[Emissionsquelle/Aktivität (Dropdown)]],GWP_100[],7,FALSE),0),0))</f>
        <v/>
      </c>
      <c r="BJ47" s="94" t="str">
        <f>IF(ISBLANK(Wärme[[#This Row],[Wert 
(Zahl)]]),"",IFERROR(Wärme[[#This Row],[Scope 1 SF6 '[kg SF6']]]*IFERROR(VLOOKUP("SF6",GWP_100[],8,FALSE),0),0))</f>
        <v/>
      </c>
      <c r="BK47" s="94" t="str">
        <f>IF(ISBLANK(Wärme[[#This Row],[Wert 
(Zahl)]]),"",IFERROR(Wärme[[#This Row],[Scope 1 NF3 '[kg NF3']]]*IFERROR(VLOOKUP("NF3",GWP_100[],9,FALSE),0),0))</f>
        <v/>
      </c>
      <c r="BL47" s="94" t="str">
        <f>IF(ISBLANK(Wärme[[#This Row],[Wert 
(Zahl)]]),"",IFERROR(Wärme[[#This Row],[Scope 1 non-Kyoto '[kg non-Kyoto gas']]]*IFERROR(VLOOKUP(Wärme[[#This Row],[Emissionsquelle/Aktivität (Dropdown)]],GWP_100[],10,FALSE),0),0))</f>
        <v/>
      </c>
      <c r="BM47" s="94" t="str">
        <f>IF(ISBLANK(Wärme[[#This Row],[Wert 
(Zahl)]]),"",IFERROR(Wärme[[#This Row],[Scope 2 CO2 '[kg CO2']]]*IFERROR(VLOOKUP("CO2",GWP_100[],3,FALSE),0),0))</f>
        <v/>
      </c>
      <c r="BN47" s="94" t="str">
        <f>IF(ISBLANK(Wärme[[#This Row],[Wert 
(Zahl)]]),"",IFERROR(Wärme[[#This Row],[Scope 2 CH4 '[kg CH4']]]*IFERROR(VLOOKUP("CH4",GWP_100[],4,FALSE),0),0))</f>
        <v/>
      </c>
      <c r="BO47" s="94" t="str">
        <f>IF(ISBLANK(Wärme[[#This Row],[Wert 
(Zahl)]]),"",IFERROR(Wärme[[#This Row],[Scope 2 N2O '[kg N2O']]]*IFERROR(VLOOKUP("N2O",GWP_100[],5,FALSE),0),0))</f>
        <v/>
      </c>
      <c r="BP47" s="94" t="str">
        <f>IF(ISBLANK(Wärme[[#This Row],[Wert 
(Zahl)]]),"",IFERROR(Wärme[[#This Row],[Scope 2 HFCs '[kg HFCs']]]*IFERROR(VLOOKUP(Wärme[[#This Row],[Emissionsquelle/Aktivität (Dropdown)]],GWP_100[],6,FALSE),0),0))</f>
        <v/>
      </c>
      <c r="BQ47" s="94" t="str">
        <f>IF(ISBLANK(Wärme[[#This Row],[Wert 
(Zahl)]]),"",IFERROR(Wärme[[#This Row],[Scope 2 PFCs '[kg PFCs']]]*IFERROR(VLOOKUP(Wärme[[#This Row],[Emissionsquelle/Aktivität (Dropdown)]],GWP_100[],7,FALSE),0),0))</f>
        <v/>
      </c>
      <c r="BR47" s="94" t="str">
        <f>IF(ISBLANK(Wärme[[#This Row],[Wert 
(Zahl)]]),"",IFERROR(Wärme[[#This Row],[Scope 2 SF6 '[kg SF6']]]*IFERROR(VLOOKUP("SF6",GWP_100[],8,FALSE),0),0))</f>
        <v/>
      </c>
      <c r="BS47" s="94" t="str">
        <f>IF(ISBLANK(Wärme[[#This Row],[Wert 
(Zahl)]]),"",IFERROR(Wärme[[#This Row],[Scope 2 NF3 '[kg NF3']]]*IFERROR(VLOOKUP("NF3",GWP_100[],9,FALSE),0),0))</f>
        <v/>
      </c>
      <c r="BT47" s="94" t="str">
        <f>IF(ISBLANK(Wärme[[#This Row],[Wert 
(Zahl)]]),"",IFERROR(Wärme[[#This Row],[Scope 2 non-Kyoto '[kg non-Kyoto gas']]]*IFERROR(VLOOKUP(Wärme[[#This Row],[Emissionsquelle/Aktivität (Dropdown)]],GWP_100[],10,FALSE),0),0))</f>
        <v/>
      </c>
    </row>
    <row r="48" spans="2:72" s="89" customFormat="1" ht="15" thickBot="1" x14ac:dyDescent="0.4">
      <c r="B48" s="605"/>
      <c r="C48" s="90" t="str">
        <f t="shared" si="0"/>
        <v>Wärme</v>
      </c>
      <c r="D48" s="90"/>
      <c r="E48" s="90"/>
      <c r="F48" s="288"/>
      <c r="G48" s="90" t="str">
        <f>IFERROR(VLOOKUP(Wärme[[#This Row],[Thema_Bezeichung]],EFs_Wärme[],4,FALSE),"")</f>
        <v/>
      </c>
      <c r="H48" s="90"/>
      <c r="I48" s="90"/>
      <c r="J48" s="90"/>
      <c r="K48" s="90"/>
      <c r="L48" s="285" t="str">
        <f>IF(ISBLANK(Wärme[[#This Row],[Wert 
(Zahl)]]),"", SUM(Wärme[[#This Row],[Scope 1 CO2e '[kg CO2e']]:[Scope 3 CO2e '[kg CO2e']]]))</f>
        <v/>
      </c>
      <c r="M48" s="159"/>
      <c r="N48" s="159"/>
      <c r="O48" s="94" t="str">
        <f>IF(ISBLANK(Wärme[[#This Row],[Emissionsquelle/Aktivität (Dropdown)]]),"",CONCATENATE(Wärme[[#This Row],[Sektor_Thema]]," - ",Wärme[[#This Row],[Emissionsquelle/Aktivität (Dropdown)]]))</f>
        <v/>
      </c>
      <c r="P48" s="94" t="str">
        <f>IF(ISBLANK(Wärme[[#This Row],[Emissionsquelle/Aktivität (Dropdown)]]),"",AND(Wärme[[#This Row],[Emissionsquelle/Aktivität (Dropdown)]]="Fernwärme (Wert Energieversorger)",ISNUMBER(Wärme[[#This Row],[Fernwärme Eigenfaktor Scope 2
'[g CO2e/kWh']
(falls zutreffend)]])))</f>
        <v/>
      </c>
      <c r="Q48" s="94" t="str">
        <f>IFERROR(VLOOKUP(Wärme[[#This Row],[Thema_Bezeichung]],EFs_Wärme[],5,FALSE),"")</f>
        <v/>
      </c>
      <c r="R48" s="94" t="str">
        <f>IFERROR(VLOOKUP(Wärme[[#This Row],[Thema_Bezeichung]],EFs_Wärme[],6,FALSE),"")</f>
        <v/>
      </c>
      <c r="S48" s="94" t="str">
        <f>IFERROR(VLOOKUP(Wärme[[#This Row],[Thema_Bezeichung]],EFs_Wärme[],7,FALSE),"")</f>
        <v/>
      </c>
      <c r="T48" s="94" t="str">
        <f>IFERROR(VLOOKUP(Wärme[[#This Row],[Thema_Bezeichung]],EFs_Wärme[],8,FALSE),"")</f>
        <v/>
      </c>
      <c r="U48" s="94" t="str">
        <f>IFERROR(VLOOKUP(Wärme[[#This Row],[Thema_Bezeichung]],EFs_Wärme[],9,FALSE),"")</f>
        <v/>
      </c>
      <c r="V48" s="94" t="str">
        <f>IFERROR(VLOOKUP(Wärme[[#This Row],[Thema_Bezeichung]],EFs_Wärme[],10,FALSE),"")</f>
        <v/>
      </c>
      <c r="W48" s="94" t="str">
        <f>IFERROR(VLOOKUP(Wärme[[#This Row],[Thema_Bezeichung]],EFs_Wärme[],11,FALSE),"")</f>
        <v/>
      </c>
      <c r="X48" s="94" t="str">
        <f>IFERROR(VLOOKUP(Wärme[[#This Row],[Thema_Bezeichung]],EFs_Wärme[],12,FALSE),"")</f>
        <v/>
      </c>
      <c r="Y48" s="94" t="str">
        <f>IFERROR(VLOOKUP(Wärme[[#This Row],[Thema_Bezeichung]],EFs_Wärme[],13,FALSE),"")</f>
        <v/>
      </c>
      <c r="Z48" s="94" t="str">
        <f>IFERROR(VLOOKUP(Wärme[[#This Row],[Thema_Bezeichung]],EFs_Wärme[],14,FALSE),"")</f>
        <v/>
      </c>
      <c r="AA48" s="94" t="str">
        <f>IF(Wärme[[#This Row],[Fernwärme - Eigenfaktor angegeben?]]=TRUE,Wärme[[#This Row],[Fernwärme Eigenfaktor Scope 2
'[g CO2e/kWh']
(falls zutreffend)]]/1000,IFERROR(VLOOKUP(Wärme[[#This Row],[Thema_Bezeichung]],EFs_Wärme[],15,FALSE),""))</f>
        <v/>
      </c>
      <c r="AB48" s="94" t="str">
        <f>IFERROR(VLOOKUP(Wärme[[#This Row],[Thema_Bezeichung]],EFs_Wärme[],16,FALSE),"")</f>
        <v/>
      </c>
      <c r="AC48" s="94" t="str">
        <f>IFERROR(VLOOKUP(Wärme[[#This Row],[Thema_Bezeichung]],EFs_Wärme[],17,FALSE),"")</f>
        <v/>
      </c>
      <c r="AD48" s="94" t="str">
        <f>IFERROR(VLOOKUP(Wärme[[#This Row],[Thema_Bezeichung]],EFs_Wärme[],18,FALSE),"")</f>
        <v/>
      </c>
      <c r="AE48" s="94" t="str">
        <f>IFERROR(VLOOKUP(Wärme[[#This Row],[Thema_Bezeichung]],EFs_Wärme[],19,FALSE),"")</f>
        <v/>
      </c>
      <c r="AF48" s="94" t="str">
        <f>IFERROR(VLOOKUP(Wärme[[#This Row],[Thema_Bezeichung]],EFs_Wärme[],20,FALSE),"")</f>
        <v/>
      </c>
      <c r="AG48" s="94" t="str">
        <f>IFERROR(VLOOKUP(Wärme[[#This Row],[Thema_Bezeichung]],EFs_Wärme[],21,FALSE),"")</f>
        <v/>
      </c>
      <c r="AH48" s="94" t="str">
        <f>IFERROR(VLOOKUP(Wärme[[#This Row],[Thema_Bezeichung]],EFs_Wärme[],22,FALSE),"")</f>
        <v/>
      </c>
      <c r="AI48" s="94" t="str">
        <f>IFERROR(VLOOKUP(Wärme[[#This Row],[Thema_Bezeichung]],EFs_Wärme[],23,FALSE),"")</f>
        <v/>
      </c>
      <c r="AJ48" s="94" t="str">
        <f>IFERROR(VLOOKUP(Wärme[[#This Row],[Thema_Bezeichung]],EFs_Wärme[],24,FALSE),"")</f>
        <v/>
      </c>
      <c r="AK48" s="94" t="str">
        <f>IFERROR(Wärme[[#This Row],[Wert 
(Zahl)]]*Wärme[[#This Row],[EF Scope 1 CO2e
(kg CO2e/Einheit)]],"")</f>
        <v/>
      </c>
      <c r="AL48" s="94" t="str">
        <f>IFERROR(Wärme[[#This Row],[Wert 
(Zahl)]]*Wärme[[#This Row],[EF Scope 2 CO2e
(kg CO2e/Einheit)]],"")</f>
        <v/>
      </c>
      <c r="AM48" s="94" t="str">
        <f>IFERROR(Wärme[[#This Row],[Wert 
(Zahl)]]*Wärme[[#This Row],[EF Scope 3 CO2e
(kg CO2e/Einheit)]],"")</f>
        <v/>
      </c>
      <c r="AN48" s="94" t="str">
        <f>IFERROR(Wärme[[#This Row],[Wert 
(Zahl)]]*Wärme[[#This Row],[EF Scope 1 CO2 biogen
(kg CO2 /Einheit)]],"")</f>
        <v/>
      </c>
      <c r="AO48" s="94" t="str">
        <f>IFERROR(Wärme[[#This Row],[Wert 
(Zahl)]]*Wärme[[#This Row],[EF Scope 1 CO2
(kg CO2/Einheit)]],"")</f>
        <v/>
      </c>
      <c r="AP48" s="94" t="str">
        <f>IFERROR(Wärme[[#This Row],[Wert 
(Zahl)]]*Wärme[[#This Row],[EF Scope 1 CH4
(kg CH4/Einheit)]],"")</f>
        <v/>
      </c>
      <c r="AQ48" s="94" t="str">
        <f>IFERROR(Wärme[[#This Row],[Wert 
(Zahl)]]*Wärme[[#This Row],[EF Scope 1 N2O
(kg N2O/Einheit)]],"")</f>
        <v/>
      </c>
      <c r="AR48" s="94" t="str">
        <f>IFERROR(Wärme[[#This Row],[Wert 
(Zahl)]]*Wärme[[#This Row],[EF Scope 1 HFCs
(kg HFCs/Einheit)]],"")</f>
        <v/>
      </c>
      <c r="AS48" s="94" t="str">
        <f>IFERROR(Wärme[[#This Row],[Wert 
(Zahl)]]*Wärme[[#This Row],[EF Scope 1 PFCs
(kg PFCs/Einheit)]],"")</f>
        <v/>
      </c>
      <c r="AT48" s="94" t="str">
        <f>IFERROR(Wärme[[#This Row],[Wert 
(Zahl)]]*Wärme[[#This Row],[EF Scope 1 SF6
(kg SF6/Einheit)]],"")</f>
        <v/>
      </c>
      <c r="AU48" s="94" t="str">
        <f>IFERROR(Wärme[[#This Row],[Wert 
(Zahl)]]*Wärme[[#This Row],[EF Scope 1 NF3
(kg NF3/Einheit)]],"")</f>
        <v/>
      </c>
      <c r="AV48" s="94" t="str">
        <f>IFERROR(Wärme[[#This Row],[Wert 
(Zahl)]]*Wärme[[#This Row],[EF Scope 1 Nicht-Kyoto-Gase (kg Nicht-Kyoto-Gase/Einheit)]],"")</f>
        <v/>
      </c>
      <c r="AW48" s="94" t="str">
        <f>IFERROR(Wärme[[#This Row],[Wert 
(Zahl)]]*Wärme[[#This Row],[EF Scope 2 CO2
(kg CO2/Einheit)]],"")</f>
        <v/>
      </c>
      <c r="AX48" s="94" t="str">
        <f>IFERROR(Wärme[[#This Row],[Wert 
(Zahl)]]*Wärme[[#This Row],[EF Scope 2 CH4
(kg CH4/Einheit)]],"")</f>
        <v/>
      </c>
      <c r="AY48" s="94" t="str">
        <f>IFERROR(Wärme[[#This Row],[Wert 
(Zahl)]]*Wärme[[#This Row],[EF Scope 2 N2O
(kg N2O/Einheit)]],"")</f>
        <v/>
      </c>
      <c r="AZ48" s="94" t="str">
        <f>IFERROR(Wärme[[#This Row],[Wert 
(Zahl)]]*Wärme[[#This Row],[EF Scope 2 HFCs
(kg HFCs/Einheit)]],"")</f>
        <v/>
      </c>
      <c r="BA48" s="94" t="str">
        <f>IFERROR(Wärme[[#This Row],[Wert 
(Zahl)]]*Wärme[[#This Row],[EF Scope 2 PFCs
(kg PFCs/Einheit)]],"")</f>
        <v/>
      </c>
      <c r="BB48" s="94" t="str">
        <f>IFERROR(Wärme[[#This Row],[Wert 
(Zahl)]]*Wärme[[#This Row],[EF Scope 2 SF6
(kg SF6/Einheit)]],"")</f>
        <v/>
      </c>
      <c r="BC48" s="94" t="str">
        <f>IFERROR(Wärme[[#This Row],[Wert 
(Zahl)]]*Wärme[[#This Row],[EF Scope 2 NF3
(kg NF3/Einheit)]],"")</f>
        <v/>
      </c>
      <c r="BD48" s="94" t="str">
        <f>IFERROR(Wärme[[#This Row],[Wert 
(Zahl)]]*Wärme[[#This Row],[EF Scope 2 Nicht-Kyoto-Gase (kg Nicht-Kyoto-Gase/Einheit)]],"")</f>
        <v/>
      </c>
      <c r="BE48" s="94" t="str">
        <f>IF(ISBLANK(Wärme[[#This Row],[Wert 
(Zahl)]]),"",IFERROR(Wärme[[#This Row],[Scope 1 CO2 '[kg CO2']]]*IFERROR(VLOOKUP("CO2",GWP_100[],3,FALSE),0),0))</f>
        <v/>
      </c>
      <c r="BF48" s="94" t="str">
        <f>IF(ISBLANK(Wärme[[#This Row],[Wert 
(Zahl)]]),"",IFERROR(Wärme[[#This Row],[Scope 1 CH4 '[kg CH4']]]*IFERROR(VLOOKUP("CH4",GWP_100[],4,FALSE),0),0))</f>
        <v/>
      </c>
      <c r="BG48" s="94" t="str">
        <f>IF(ISBLANK(Wärme[[#This Row],[Wert 
(Zahl)]]),"",IFERROR(Wärme[[#This Row],[Scope 1 N2O '[kg N2O']]]*IFERROR(VLOOKUP("N2O",GWP_100[],5,FALSE),0),0))</f>
        <v/>
      </c>
      <c r="BH48" s="94" t="str">
        <f>IF(ISBLANK(Wärme[[#This Row],[Wert 
(Zahl)]]),"",IFERROR(Wärme[[#This Row],[Scope 1 HFCs '[kg HFCs']]]*IFERROR(VLOOKUP(Wärme[[#This Row],[Emissionsquelle/Aktivität (Dropdown)]],GWP_100[],6,FALSE),0),0))</f>
        <v/>
      </c>
      <c r="BI48" s="94" t="str">
        <f>IF(ISBLANK(Wärme[[#This Row],[Wert 
(Zahl)]]),"",IFERROR(Wärme[[#This Row],[Scope 1 PFCs '[kg PFCs']]]*IFERROR(VLOOKUP(Wärme[[#This Row],[Emissionsquelle/Aktivität (Dropdown)]],GWP_100[],7,FALSE),0),0))</f>
        <v/>
      </c>
      <c r="BJ48" s="94" t="str">
        <f>IF(ISBLANK(Wärme[[#This Row],[Wert 
(Zahl)]]),"",IFERROR(Wärme[[#This Row],[Scope 1 SF6 '[kg SF6']]]*IFERROR(VLOOKUP("SF6",GWP_100[],8,FALSE),0),0))</f>
        <v/>
      </c>
      <c r="BK48" s="94" t="str">
        <f>IF(ISBLANK(Wärme[[#This Row],[Wert 
(Zahl)]]),"",IFERROR(Wärme[[#This Row],[Scope 1 NF3 '[kg NF3']]]*IFERROR(VLOOKUP("NF3",GWP_100[],9,FALSE),0),0))</f>
        <v/>
      </c>
      <c r="BL48" s="94" t="str">
        <f>IF(ISBLANK(Wärme[[#This Row],[Wert 
(Zahl)]]),"",IFERROR(Wärme[[#This Row],[Scope 1 non-Kyoto '[kg non-Kyoto gas']]]*IFERROR(VLOOKUP(Wärme[[#This Row],[Emissionsquelle/Aktivität (Dropdown)]],GWP_100[],10,FALSE),0),0))</f>
        <v/>
      </c>
      <c r="BM48" s="94" t="str">
        <f>IF(ISBLANK(Wärme[[#This Row],[Wert 
(Zahl)]]),"",IFERROR(Wärme[[#This Row],[Scope 2 CO2 '[kg CO2']]]*IFERROR(VLOOKUP("CO2",GWP_100[],3,FALSE),0),0))</f>
        <v/>
      </c>
      <c r="BN48" s="94" t="str">
        <f>IF(ISBLANK(Wärme[[#This Row],[Wert 
(Zahl)]]),"",IFERROR(Wärme[[#This Row],[Scope 2 CH4 '[kg CH4']]]*IFERROR(VLOOKUP("CH4",GWP_100[],4,FALSE),0),0))</f>
        <v/>
      </c>
      <c r="BO48" s="94" t="str">
        <f>IF(ISBLANK(Wärme[[#This Row],[Wert 
(Zahl)]]),"",IFERROR(Wärme[[#This Row],[Scope 2 N2O '[kg N2O']]]*IFERROR(VLOOKUP("N2O",GWP_100[],5,FALSE),0),0))</f>
        <v/>
      </c>
      <c r="BP48" s="94" t="str">
        <f>IF(ISBLANK(Wärme[[#This Row],[Wert 
(Zahl)]]),"",IFERROR(Wärme[[#This Row],[Scope 2 HFCs '[kg HFCs']]]*IFERROR(VLOOKUP(Wärme[[#This Row],[Emissionsquelle/Aktivität (Dropdown)]],GWP_100[],6,FALSE),0),0))</f>
        <v/>
      </c>
      <c r="BQ48" s="94" t="str">
        <f>IF(ISBLANK(Wärme[[#This Row],[Wert 
(Zahl)]]),"",IFERROR(Wärme[[#This Row],[Scope 2 PFCs '[kg PFCs']]]*IFERROR(VLOOKUP(Wärme[[#This Row],[Emissionsquelle/Aktivität (Dropdown)]],GWP_100[],7,FALSE),0),0))</f>
        <v/>
      </c>
      <c r="BR48" s="94" t="str">
        <f>IF(ISBLANK(Wärme[[#This Row],[Wert 
(Zahl)]]),"",IFERROR(Wärme[[#This Row],[Scope 2 SF6 '[kg SF6']]]*IFERROR(VLOOKUP("SF6",GWP_100[],8,FALSE),0),0))</f>
        <v/>
      </c>
      <c r="BS48" s="94" t="str">
        <f>IF(ISBLANK(Wärme[[#This Row],[Wert 
(Zahl)]]),"",IFERROR(Wärme[[#This Row],[Scope 2 NF3 '[kg NF3']]]*IFERROR(VLOOKUP("NF3",GWP_100[],9,FALSE),0),0))</f>
        <v/>
      </c>
      <c r="BT48" s="94" t="str">
        <f>IF(ISBLANK(Wärme[[#This Row],[Wert 
(Zahl)]]),"",IFERROR(Wärme[[#This Row],[Scope 2 non-Kyoto '[kg non-Kyoto gas']]]*IFERROR(VLOOKUP(Wärme[[#This Row],[Emissionsquelle/Aktivität (Dropdown)]],GWP_100[],10,FALSE),0),0))</f>
        <v/>
      </c>
    </row>
    <row r="49" spans="2:76" s="2" customFormat="1" ht="15" thickTop="1" x14ac:dyDescent="0.35">
      <c r="B49" s="14"/>
      <c r="D49" s="333" t="s">
        <v>204</v>
      </c>
      <c r="E49" s="333"/>
      <c r="F49" s="333"/>
      <c r="G49" s="333"/>
      <c r="H49" s="333"/>
      <c r="I49" s="333"/>
      <c r="J49" s="333"/>
      <c r="K49" s="333"/>
      <c r="L49" s="286">
        <f>SUBTOTAL(109,Wärme[Ergebnis '[kg CO2e'] (vorausgefüllt)])</f>
        <v>0</v>
      </c>
      <c r="M49" s="160"/>
      <c r="N49" s="160"/>
      <c r="AK49" s="2">
        <f>SUBTOTAL(109,Wärme[Scope 1 CO2e '[kg CO2e']])</f>
        <v>0</v>
      </c>
      <c r="AL49" s="2">
        <f>SUBTOTAL(109,Wärme[Scope 2 CO2e '[kg CO2e']])</f>
        <v>0</v>
      </c>
      <c r="AM49" s="2">
        <f>SUBTOTAL(109,Wärme[Scope 3 CO2e '[kg CO2e']])</f>
        <v>0</v>
      </c>
      <c r="AN49" s="2">
        <f>SUBTOTAL(109,Wärme[Scope 1 CO2 biogen '[kg CO2']])</f>
        <v>0</v>
      </c>
      <c r="AO49" s="2">
        <f>SUBTOTAL(109,Wärme[Scope 1 CO2 '[kg CO2']])</f>
        <v>0</v>
      </c>
      <c r="AP49" s="2">
        <f>SUBTOTAL(109,Wärme[Scope 1 CH4 '[kg CH4']])</f>
        <v>0</v>
      </c>
      <c r="AQ49" s="2">
        <f>SUBTOTAL(109,Wärme[Scope 1 N2O '[kg N2O']])</f>
        <v>0</v>
      </c>
      <c r="AR49" s="2">
        <f>SUBTOTAL(109,Wärme[Scope 1 HFCs '[kg HFCs']])</f>
        <v>0</v>
      </c>
      <c r="AS49" s="2">
        <f>SUBTOTAL(109,Wärme[Scope 1 PFCs '[kg PFCs']])</f>
        <v>0</v>
      </c>
      <c r="AT49" s="2">
        <f>SUBTOTAL(109,Wärme[Scope 1 SF6 '[kg SF6']])</f>
        <v>0</v>
      </c>
      <c r="AU49" s="2">
        <f>SUBTOTAL(109,Wärme[Scope 1 NF3 '[kg NF3']])</f>
        <v>0</v>
      </c>
      <c r="AV49" s="2">
        <f>SUBTOTAL(109,Wärme[Scope 1 non-Kyoto '[kg non-Kyoto gas']])</f>
        <v>0</v>
      </c>
      <c r="AW49" s="2">
        <f>SUBTOTAL(109,Wärme[Scope 2 CO2 '[kg CO2']])</f>
        <v>0</v>
      </c>
      <c r="AX49" s="2">
        <f>SUBTOTAL(109,Wärme[Scope 2 CH4 '[kg CH4']])</f>
        <v>0</v>
      </c>
      <c r="AY49" s="2">
        <f>SUBTOTAL(109,Wärme[Scope 2 N2O '[kg N2O']])</f>
        <v>0</v>
      </c>
      <c r="AZ49" s="2">
        <f>SUBTOTAL(109,Wärme[Scope 2 HFCs '[kg HFCs']])</f>
        <v>0</v>
      </c>
      <c r="BA49" s="2">
        <f>SUBTOTAL(109,Wärme[Scope 2 PFCs '[kg PFCs']])</f>
        <v>0</v>
      </c>
      <c r="BB49" s="2">
        <f>SUBTOTAL(109,Wärme[Scope 2 SF6 '[kg SF6']])</f>
        <v>0</v>
      </c>
      <c r="BC49" s="2">
        <f>SUBTOTAL(109,Wärme[Scope 2 NF3 '[kg NF3']])</f>
        <v>0</v>
      </c>
      <c r="BD49" s="2">
        <f>SUBTOTAL(109,Wärme[Scope 2 non-Kyoto '[kg non-Kyoto gas']])</f>
        <v>0</v>
      </c>
      <c r="BE49" s="2">
        <f>SUBTOTAL(109,Wärme[Scope 1 CO2 '[kg CO2e']])</f>
        <v>0</v>
      </c>
      <c r="BF49" s="2">
        <f>SUBTOTAL(109,Wärme[Scope 1 CH4 '[kg CO2e']])</f>
        <v>0</v>
      </c>
      <c r="BG49" s="2">
        <f>SUBTOTAL(109,Wärme[Scope 1 N2O '[kg CO2e']])</f>
        <v>0</v>
      </c>
      <c r="BH49" s="2">
        <f>SUBTOTAL(109,Wärme[Scope 1 HFCs '[kg CO2e']])</f>
        <v>0</v>
      </c>
      <c r="BI49" s="2">
        <f>SUBTOTAL(109,Wärme[Scope 1 PFCs '[kg CO2e']])</f>
        <v>0</v>
      </c>
      <c r="BJ49" s="2">
        <f>SUBTOTAL(109,Wärme[Scope 1 SF6 '[kg CO2e']])</f>
        <v>0</v>
      </c>
      <c r="BK49" s="2">
        <f>SUBTOTAL(109,Wärme[Scope 1 NF3 '[kg CO2e']])</f>
        <v>0</v>
      </c>
      <c r="BL49" s="2">
        <f>SUBTOTAL(109,Wärme[Scope 1 non-Kyoto '[kg CO2e']])</f>
        <v>0</v>
      </c>
      <c r="BM49" s="2">
        <f>SUBTOTAL(109,Wärme[Scope 2 CO2 '[kg CO2e']])</f>
        <v>0</v>
      </c>
      <c r="BN49" s="2">
        <f>SUBTOTAL(109,Wärme[Scope 2 CH4 '[kg CO2e']])</f>
        <v>0</v>
      </c>
      <c r="BO49" s="2">
        <f>SUBTOTAL(109,Wärme[Scope 2 N2O '[kg CO2e']])</f>
        <v>0</v>
      </c>
      <c r="BP49" s="2">
        <f>SUBTOTAL(109,Wärme[Scope 2 HFCs '[kg CO2e']])</f>
        <v>0</v>
      </c>
      <c r="BQ49" s="2">
        <f>SUBTOTAL(109,Wärme[Scope 2 PFCs '[kg CO2e']])</f>
        <v>0</v>
      </c>
      <c r="BR49" s="2">
        <f>SUBTOTAL(109,Wärme[Scope 2 SF6 '[kg CO2e']])</f>
        <v>0</v>
      </c>
      <c r="BS49" s="2">
        <f>SUBTOTAL(109,Wärme[Scope 2 NF3 '[kg CO2e']])</f>
        <v>0</v>
      </c>
      <c r="BT49" s="2">
        <f>SUBTOTAL(109,Wärme[Scope 2 non-Kyoto '[kg CO2e']])</f>
        <v>0</v>
      </c>
    </row>
    <row r="50" spans="2:76" ht="120" customHeight="1" x14ac:dyDescent="0.35">
      <c r="B50" s="183" t="s">
        <v>79</v>
      </c>
      <c r="C50" s="11"/>
      <c r="D50" s="11"/>
      <c r="O50" t="str">
        <f>IFERROR(Wärme[[#This Row],[Wert 
(Zahl)]]*Wärme[[#This Row],[EF Scope 1 CO2e
(kg CO2e/Einheit)]],"")</f>
        <v/>
      </c>
      <c r="P50" t="str">
        <f>IFERROR(Wärme[[#This Row],[Wert 
(Zahl)]]*Wärme[[#This Row],[EF Scope 2 CO2e
(kg CO2e/Einheit)]],"")</f>
        <v/>
      </c>
      <c r="Q50" t="str">
        <f>IFERROR(Wärme[[#This Row],[Wert 
(Zahl)]]*#REF!,"")</f>
        <v/>
      </c>
      <c r="R50" t="str">
        <f>IFERROR(Wärme[[#This Row],[Wert 
(Zahl)]]*Wärme[[#This Row],[EF Scope 1 CO2e
(kg CO2e/Einheit)]],"")</f>
        <v/>
      </c>
      <c r="S50" t="str">
        <f>IFERROR(Wärme[[#This Row],[Wert 
(Zahl)]]*Wärme[[#This Row],[EF Scope 2 CO2e
(kg CO2e/Einheit)]],"")</f>
        <v/>
      </c>
      <c r="T50" t="str">
        <f>IFERROR(Wärme[[#This Row],[Wert 
(Zahl)]]*#REF!,"")</f>
        <v/>
      </c>
    </row>
    <row r="51" spans="2:76" x14ac:dyDescent="0.35">
      <c r="B51" s="127" t="s">
        <v>80</v>
      </c>
    </row>
    <row r="52" spans="2:76" ht="18.5" x14ac:dyDescent="0.45">
      <c r="B52" s="126" t="s">
        <v>15</v>
      </c>
    </row>
    <row r="53" spans="2:76" ht="104" customHeight="1" x14ac:dyDescent="0.35">
      <c r="B53" s="273" t="s">
        <v>81</v>
      </c>
      <c r="C53" s="274"/>
      <c r="D53" s="601" t="s">
        <v>615</v>
      </c>
      <c r="E53" s="601"/>
      <c r="F53" s="601"/>
      <c r="G53" s="601"/>
      <c r="H53" s="601"/>
      <c r="I53" s="602"/>
      <c r="L53" s="478" t="s">
        <v>822</v>
      </c>
      <c r="M53" s="478" t="s">
        <v>823</v>
      </c>
    </row>
    <row r="54" spans="2:76" s="1" customFormat="1" ht="14" customHeight="1" x14ac:dyDescent="0.45">
      <c r="B54"/>
      <c r="C54" t="s">
        <v>15</v>
      </c>
      <c r="D54"/>
      <c r="E54"/>
      <c r="F54"/>
      <c r="G54"/>
      <c r="H54"/>
      <c r="I54"/>
      <c r="J54"/>
      <c r="K54"/>
      <c r="L54" s="479" t="s">
        <v>603</v>
      </c>
      <c r="M54" s="479" t="s">
        <v>603</v>
      </c>
      <c r="N54"/>
      <c r="O54"/>
      <c r="P54"/>
      <c r="Q54"/>
      <c r="R54"/>
      <c r="S54"/>
      <c r="T54"/>
      <c r="U54"/>
      <c r="V54"/>
    </row>
    <row r="55" spans="2:76" ht="60.5" thickBot="1" x14ac:dyDescent="0.4">
      <c r="B55" s="10"/>
      <c r="C55" s="23" t="s">
        <v>46</v>
      </c>
      <c r="D55" s="151" t="s">
        <v>192</v>
      </c>
      <c r="E55" s="151" t="s">
        <v>65</v>
      </c>
      <c r="F55" s="151" t="s">
        <v>66</v>
      </c>
      <c r="G55" s="97" t="s">
        <v>78</v>
      </c>
      <c r="H55" s="151" t="s">
        <v>120</v>
      </c>
      <c r="I55" s="151" t="s">
        <v>568</v>
      </c>
      <c r="J55" s="97" t="s">
        <v>74</v>
      </c>
      <c r="K55" s="97" t="s">
        <v>75</v>
      </c>
      <c r="L55" s="156" t="s">
        <v>821</v>
      </c>
      <c r="M55" s="711" t="s">
        <v>820</v>
      </c>
      <c r="N55" s="407" t="s">
        <v>424</v>
      </c>
      <c r="O55" s="97" t="s">
        <v>217</v>
      </c>
      <c r="P55" s="97" t="s">
        <v>491</v>
      </c>
      <c r="Q55" s="432" t="s">
        <v>485</v>
      </c>
      <c r="R55" s="96" t="s">
        <v>435</v>
      </c>
      <c r="S55" s="96" t="s">
        <v>436</v>
      </c>
      <c r="T55" s="96" t="s">
        <v>437</v>
      </c>
      <c r="U55" s="96" t="s">
        <v>469</v>
      </c>
      <c r="V55" s="96" t="s">
        <v>468</v>
      </c>
      <c r="W55" s="96" t="s">
        <v>467</v>
      </c>
      <c r="X55" s="96" t="s">
        <v>466</v>
      </c>
      <c r="Y55" s="96" t="s">
        <v>579</v>
      </c>
      <c r="Z55" s="436" t="s">
        <v>438</v>
      </c>
      <c r="AA55" s="432" t="s">
        <v>486</v>
      </c>
      <c r="AB55" s="460" t="s">
        <v>425</v>
      </c>
      <c r="AC55" s="96" t="s">
        <v>439</v>
      </c>
      <c r="AD55" s="96" t="s">
        <v>440</v>
      </c>
      <c r="AE55" s="96" t="s">
        <v>441</v>
      </c>
      <c r="AF55" s="96" t="s">
        <v>470</v>
      </c>
      <c r="AG55" s="96" t="s">
        <v>471</v>
      </c>
      <c r="AH55" s="96" t="s">
        <v>472</v>
      </c>
      <c r="AI55" s="96" t="s">
        <v>473</v>
      </c>
      <c r="AJ55" s="96" t="s">
        <v>580</v>
      </c>
      <c r="AK55" s="432" t="s">
        <v>487</v>
      </c>
      <c r="AL55" s="437" t="s">
        <v>179</v>
      </c>
      <c r="AM55" s="134" t="s">
        <v>493</v>
      </c>
      <c r="AN55" s="134" t="s">
        <v>527</v>
      </c>
      <c r="AO55" s="134" t="s">
        <v>528</v>
      </c>
      <c r="AP55" s="435" t="s">
        <v>500</v>
      </c>
      <c r="AQ55" s="439" t="s">
        <v>536</v>
      </c>
      <c r="AR55" s="440" t="s">
        <v>255</v>
      </c>
      <c r="AS55" s="434" t="s">
        <v>507</v>
      </c>
      <c r="AT55" s="434" t="s">
        <v>506</v>
      </c>
      <c r="AU55" s="434" t="s">
        <v>504</v>
      </c>
      <c r="AV55" s="434" t="s">
        <v>505</v>
      </c>
      <c r="AW55" s="434" t="s">
        <v>503</v>
      </c>
      <c r="AX55" s="434" t="s">
        <v>502</v>
      </c>
      <c r="AY55" s="434" t="s">
        <v>501</v>
      </c>
      <c r="AZ55" s="434" t="s">
        <v>540</v>
      </c>
      <c r="BA55" s="434" t="s">
        <v>508</v>
      </c>
      <c r="BB55" s="434" t="s">
        <v>509</v>
      </c>
      <c r="BC55" s="434" t="s">
        <v>510</v>
      </c>
      <c r="BD55" s="434" t="s">
        <v>513</v>
      </c>
      <c r="BE55" s="434" t="s">
        <v>514</v>
      </c>
      <c r="BF55" s="434" t="s">
        <v>511</v>
      </c>
      <c r="BG55" s="434" t="s">
        <v>512</v>
      </c>
      <c r="BH55" s="434" t="s">
        <v>541</v>
      </c>
      <c r="BI55" s="433" t="s">
        <v>495</v>
      </c>
      <c r="BJ55" s="433" t="s">
        <v>494</v>
      </c>
      <c r="BK55" s="433" t="s">
        <v>496</v>
      </c>
      <c r="BL55" s="433" t="s">
        <v>497</v>
      </c>
      <c r="BM55" s="433" t="s">
        <v>515</v>
      </c>
      <c r="BN55" s="433" t="s">
        <v>498</v>
      </c>
      <c r="BO55" s="433" t="s">
        <v>499</v>
      </c>
      <c r="BP55" s="433" t="s">
        <v>542</v>
      </c>
      <c r="BQ55" s="433" t="s">
        <v>516</v>
      </c>
      <c r="BR55" s="433" t="s">
        <v>517</v>
      </c>
      <c r="BS55" s="433" t="s">
        <v>518</v>
      </c>
      <c r="BT55" s="433" t="s">
        <v>519</v>
      </c>
      <c r="BU55" s="433" t="s">
        <v>520</v>
      </c>
      <c r="BV55" s="433" t="s">
        <v>521</v>
      </c>
      <c r="BW55" s="433" t="s">
        <v>522</v>
      </c>
      <c r="BX55" s="433" t="s">
        <v>543</v>
      </c>
    </row>
    <row r="56" spans="2:76" s="89" customFormat="1" ht="15" thickTop="1" x14ac:dyDescent="0.35">
      <c r="B56" s="603" t="s">
        <v>15</v>
      </c>
      <c r="C56" s="10" t="str">
        <f t="shared" ref="C56:C75" si="1">$C$54</f>
        <v>Strom</v>
      </c>
      <c r="D56" s="90"/>
      <c r="E56" s="90"/>
      <c r="F56" s="288"/>
      <c r="G56" s="10" t="str">
        <f>IFERROR(VLOOKUP(Strom[[#This Row],[Thema_Bezeichung]],EFs_Strom[],4,FALSE),"")</f>
        <v/>
      </c>
      <c r="H56" s="90"/>
      <c r="I56" s="90"/>
      <c r="J56" s="90"/>
      <c r="K56" s="90"/>
      <c r="L56" s="289" t="str">
        <f>IF(ISBLANK(Strom[[#This Row],[Wert 
(Zahl)]]),"", SUM(Strom[[#This Row],[Scope 1 CO2e '[kg CO2e']]],Strom[[#This Row],[Scope 2 CO2e '[kg CO2e']]],Strom[[#This Row],[Scope 3 CO2e '[kg CO2e']]]))</f>
        <v/>
      </c>
      <c r="M56" s="289" t="str">
        <f>IF(OR(ISBLANK(Strom[[#This Row],[Wert 
(Zahl)]]),Strom[[#This Row],[Emissionsquelle/Aktivität (Dropdown)]]&lt;&gt;"Strombezug (Deutschland)"),"", SUM(Strom[[#This Row],[Scope 1 CO2e '[kg CO2e']]],Strom[[#This Row],[Scope 2 CO2e market-based '[kg CO2e']]],Strom[[#This Row],[Scope 3 CO2e '[kg CO2e']]]))</f>
        <v/>
      </c>
      <c r="N56" s="158"/>
      <c r="O56" s="15" t="str">
        <f>IF(ISBLANK(Strom[[#This Row],[Emissionsquelle/Aktivität (Dropdown)]]),"",CONCATENATE(Strom[[#This Row],[Sektor_Thema]]," - ",Strom[[#This Row],[Emissionsquelle/Aktivität (Dropdown)]]))</f>
        <v/>
      </c>
      <c r="P56" s="15" t="str">
        <f>IF(ISBLANK(Strom[[#This Row],[Emissionsquelle/Aktivität (Dropdown)]]),"",AND(Strom[[#This Row],[Emissionsquelle/Aktivität (Dropdown)]]="Strombezug (Deutschland)",ISNUMBER(Strom[[#This Row],[Scope-2-Emissionsfaktor Vertragsstrommix
'[g CO2e/kWh']
(falls verfügbar)]])))</f>
        <v/>
      </c>
      <c r="Q56" s="15" t="str">
        <f>IFERROR(VLOOKUP(Strom[[#This Row],[Thema_Bezeichung]],EFs_Strom[],5,FALSE),"")</f>
        <v/>
      </c>
      <c r="R56" s="15" t="str">
        <f>IFERROR(VLOOKUP(Strom[[#This Row],[Thema_Bezeichung]],EFs_Strom[],6,FALSE),"")</f>
        <v/>
      </c>
      <c r="S56" s="15" t="str">
        <f>IFERROR(VLOOKUP(Strom[[#This Row],[Thema_Bezeichung]],EFs_Strom[],7,FALSE),"")</f>
        <v/>
      </c>
      <c r="T56" s="15" t="str">
        <f>IFERROR(VLOOKUP(Strom[[#This Row],[Thema_Bezeichung]],EFs_Strom[],8,FALSE),"")</f>
        <v/>
      </c>
      <c r="U56" s="15" t="str">
        <f>IFERROR(VLOOKUP(Strom[[#This Row],[Thema_Bezeichung]],EFs_Strom[],9,FALSE),"")</f>
        <v/>
      </c>
      <c r="V56" s="15" t="str">
        <f>IFERROR(VLOOKUP(Strom[[#This Row],[Thema_Bezeichung]],EFs_Strom[],10,FALSE),"")</f>
        <v/>
      </c>
      <c r="W56" s="15" t="str">
        <f>IFERROR(VLOOKUP(Strom[[#This Row],[Thema_Bezeichung]],EFs_Strom[],11,FALSE),"")</f>
        <v/>
      </c>
      <c r="X56" s="15" t="str">
        <f>IFERROR(VLOOKUP(Strom[[#This Row],[Thema_Bezeichung]],EFs_Strom[],12,FALSE),"")</f>
        <v/>
      </c>
      <c r="Y56" s="15" t="str">
        <f>IFERROR(VLOOKUP(Strom[[#This Row],[Thema_Bezeichung]],EFs_Strom[],13,FALSE),"")</f>
        <v/>
      </c>
      <c r="Z56" s="15" t="str">
        <f>IFERROR(VLOOKUP(Strom[[#This Row],[Thema_Bezeichung]],EFs_Strom[],14,FALSE),"")</f>
        <v/>
      </c>
      <c r="AA56" s="15" t="str">
        <f>IFERROR(VLOOKUP(Strom[[#This Row],[Thema_Bezeichung]],EFs_Strom[],15,FALSE),"")</f>
        <v/>
      </c>
      <c r="AB56" s="15" t="str">
        <f>IF(Strom[[#This Row],[Vertragsstrommix angegegeben?]]=TRUE,Strom[[#This Row],[Scope-2-Emissionsfaktor Vertragsstrommix
'[g CO2e/kWh']
(falls verfügbar)]]/1000,IFERROR(VLOOKUP(Strom[[#This Row],[Thema_Bezeichung]],EFs_Strom[],15,FALSE),""))</f>
        <v/>
      </c>
      <c r="AC56" s="15" t="str">
        <f>IFERROR(VLOOKUP(Strom[[#This Row],[Thema_Bezeichung]],EFs_Strom[],16,FALSE),"")</f>
        <v/>
      </c>
      <c r="AD56" s="15" t="str">
        <f>IFERROR(VLOOKUP(Strom[[#This Row],[Thema_Bezeichung]],EFs_Strom[],17,FALSE),"")</f>
        <v/>
      </c>
      <c r="AE56" s="15" t="str">
        <f>IFERROR(VLOOKUP(Strom[[#This Row],[Thema_Bezeichung]],EFs_Strom[],18,FALSE),"")</f>
        <v/>
      </c>
      <c r="AF56" s="15" t="str">
        <f>IFERROR(VLOOKUP(Strom[[#This Row],[Thema_Bezeichung]],EFs_Strom[],19,FALSE),"")</f>
        <v/>
      </c>
      <c r="AG56" s="15" t="str">
        <f>IFERROR(VLOOKUP(Strom[[#This Row],[Thema_Bezeichung]],EFs_Strom[],20,FALSE),"")</f>
        <v/>
      </c>
      <c r="AH56" s="15" t="str">
        <f>IFERROR(VLOOKUP(Strom[[#This Row],[Thema_Bezeichung]],EFs_Strom[],21,FALSE),"")</f>
        <v/>
      </c>
      <c r="AI56" s="15" t="str">
        <f>IFERROR(VLOOKUP(Strom[[#This Row],[Thema_Bezeichung]],EFs_Strom[],22,FALSE),"")</f>
        <v/>
      </c>
      <c r="AJ56" s="15" t="str">
        <f>IFERROR(VLOOKUP(Strom[[#This Row],[Thema_Bezeichung]],EFs_Strom[],23,FALSE),"")</f>
        <v/>
      </c>
      <c r="AK56" s="15" t="str">
        <f>IFERROR(VLOOKUP(Strom[[#This Row],[Thema_Bezeichung]],EFs_Strom[],24,FALSE),"")</f>
        <v/>
      </c>
      <c r="AL56" s="15" t="str">
        <f>IFERROR(VLOOKUP(Strom[[#This Row],[Thema_Bezeichung]],EFs_Strom[],30,FALSE),"")</f>
        <v/>
      </c>
      <c r="AM56" s="15" t="str">
        <f>IFERROR(Strom[[#This Row],[Wert 
(Zahl)]]*Strom[[#This Row],[EF Scope 1 CO2e
(kg CO2e/Einheit)]],"")</f>
        <v/>
      </c>
      <c r="AN56" s="15" t="str">
        <f>IFERROR(Strom[[#This Row],[Wert 
(Zahl)]]*Strom[[#This Row],[EF Scope 2 CO2e
(kg CO2e/Einheit)]],"")</f>
        <v/>
      </c>
      <c r="AO56" s="15" t="str">
        <f>IFERROR(Strom[[#This Row],[Wert 
(Zahl)]]*Strom[[#This Row],[EF Scope 3 CO2e
(kg CO2e/Einheit)]],"")</f>
        <v/>
      </c>
      <c r="AP56" s="15" t="str">
        <f>IFERROR(Strom[[#This Row],[Wert 
(Zahl)]]*Strom[[#This Row],[EF Scope 1 CO2 biogen
(kg CO2 /Einheit)]],"")</f>
        <v/>
      </c>
      <c r="AQ56" s="15" t="str">
        <f>IFERROR(Strom[[#This Row],[Wert 
(Zahl)]]*Strom[[#This Row],[Scope 2 Emissionsfaktor market-based '[kg CO2e/Einheit']]],"")</f>
        <v/>
      </c>
      <c r="AR56" s="15" t="str">
        <f>IFERROR(Strom[[#This Row],[Vermeidungsfaktor '[kg CO2e/Einheit']]]*Strom[[#This Row],[Wert 
(Zahl)]],"")</f>
        <v/>
      </c>
      <c r="AS56" s="15" t="str">
        <f>IFERROR(Strom[[#This Row],[Wert 
(Zahl)]]*Strom[[#This Row],[EF Scope 1 CO2
(kg CO2/Einheit)]],"")</f>
        <v/>
      </c>
      <c r="AT56" s="15" t="str">
        <f>IFERROR(Strom[[#This Row],[Wert 
(Zahl)]]*Strom[[#This Row],[EF Scope 1 CH4
(kg CH4/Einheit)]],"")</f>
        <v/>
      </c>
      <c r="AU56" s="15" t="str">
        <f>IFERROR(Strom[[#This Row],[Wert 
(Zahl)]]*Strom[[#This Row],[EF Scope 1 N2O
(kg N2O/Einheit)]],"")</f>
        <v/>
      </c>
      <c r="AV56" s="15" t="str">
        <f>IFERROR(Strom[[#This Row],[Wert 
(Zahl)]]*Strom[[#This Row],[EF Scope 1 HFCs
(kg HFCs/Einheit)]],"")</f>
        <v/>
      </c>
      <c r="AW56" s="15" t="str">
        <f>IFERROR(Strom[[#This Row],[Wert 
(Zahl)]]*Strom[[#This Row],[EF Scope 1 PFCs
(kg PFCs/Einheit)]],"")</f>
        <v/>
      </c>
      <c r="AX56" s="15" t="str">
        <f>IFERROR(Strom[[#This Row],[Wert 
(Zahl)]]*Strom[[#This Row],[EF Scope 1 SF6
(kg SF6/Einheit)]],"")</f>
        <v/>
      </c>
      <c r="AY56" s="15" t="str">
        <f>IFERROR(Strom[[#This Row],[Wert 
(Zahl)]]*Strom[[#This Row],[EF Scope 1 NF3
(kg NF3/Einheit)]],"")</f>
        <v/>
      </c>
      <c r="AZ56" s="15" t="str">
        <f>IFERROR(Strom[[#This Row],[Wert 
(Zahl)]]*Strom[[#This Row],[EF Scope 1 Nicht-Kyoto-Gase (kg Nicht-Kyoto-Gase/Einheit)]],"")</f>
        <v/>
      </c>
      <c r="BA56" s="15" t="str">
        <f>IFERROR(Strom[[#This Row],[Wert 
(Zahl)]]*Strom[[#This Row],[EF Scope 2 CO2
(kg CO2/Einheit)]],"")</f>
        <v/>
      </c>
      <c r="BB56" s="15" t="str">
        <f>IFERROR(Strom[[#This Row],[Wert 
(Zahl)]]*Strom[[#This Row],[EF Scope 2 CH4
(kg CH4/Einheit)]],"")</f>
        <v/>
      </c>
      <c r="BC56" s="15" t="str">
        <f>IFERROR(Strom[[#This Row],[Wert 
(Zahl)]]*Strom[[#This Row],[EF Scope 2 N2O
(kg N2O/Einheit)]],"")</f>
        <v/>
      </c>
      <c r="BD56" s="15" t="str">
        <f>IFERROR(Strom[[#This Row],[Wert 
(Zahl)]]*Strom[[#This Row],[EF Scope 2 HFCs
(kg HFCs/Einheit)]],"")</f>
        <v/>
      </c>
      <c r="BE56" s="15" t="str">
        <f>IFERROR(Strom[[#This Row],[Wert 
(Zahl)]]*Strom[[#This Row],[EF Scope 2 PFCs
(kg PFCs/Einheit)]],"")</f>
        <v/>
      </c>
      <c r="BF56" s="15" t="str">
        <f>IFERROR(Strom[[#This Row],[Wert 
(Zahl)]]*Strom[[#This Row],[EF Scope 2 SF6
(kg SF6/Einheit)]],"")</f>
        <v/>
      </c>
      <c r="BG56" s="15" t="str">
        <f>IFERROR(Strom[[#This Row],[Wert 
(Zahl)]]*Strom[[#This Row],[EF Scope 2 NF3
(kg NF3/Einheit)]],"")</f>
        <v/>
      </c>
      <c r="BH56" s="15" t="str">
        <f>IFERROR(Strom[[#This Row],[Wert 
(Zahl)]]*Strom[[#This Row],[EF Scope 2 Nicht-Kyoto-Gase (kg Nicht-Kyoto-Gase/Einheit)]],"")</f>
        <v/>
      </c>
      <c r="BI56" s="15" t="str">
        <f>IF(ISBLANK(Strom[[#This Row],[Wert 
(Zahl)]]),"",IFERROR(Strom[[#This Row],[Scope 1 CO2 '[kg CO2']]]*IFERROR(VLOOKUP("CO2",GWP_100[],3,FALSE),0),0))</f>
        <v/>
      </c>
      <c r="BJ56" s="15" t="str">
        <f>IF(ISBLANK(Strom[[#This Row],[Wert 
(Zahl)]]),"",IFERROR(Strom[[#This Row],[Scope 1 CH4 '[kg CH4']]]*IFERROR(VLOOKUP("CH4",GWP_100[],4,FALSE),0),0))</f>
        <v/>
      </c>
      <c r="BK56" s="15" t="str">
        <f>IF(ISBLANK(Strom[[#This Row],[Wert 
(Zahl)]]),"",IFERROR(Strom[[#This Row],[Scope 1 N2O '[kg N2O']]]*IFERROR(VLOOKUP("N2O",GWP_100[],5,FALSE),0),0))</f>
        <v/>
      </c>
      <c r="BL56" s="15" t="str">
        <f>IF(ISBLANK(Strom[[#This Row],[Wert 
(Zahl)]]),"",IFERROR(Strom[[#This Row],[Scope 1 HFCs '[kg HFCs']]]*IFERROR(VLOOKUP(Strom[[#This Row],[Emissionsquelle/Aktivität (Dropdown)]],GWP_100[],6,FALSE),0),0))</f>
        <v/>
      </c>
      <c r="BM56" s="15" t="str">
        <f>IF(ISBLANK(Strom[[#This Row],[Wert 
(Zahl)]]),"",IFERROR(Strom[[#This Row],[Scope 1 PFCs '[kg PFCs']]]*IFERROR(VLOOKUP(Strom[[#This Row],[Emissionsquelle/Aktivität (Dropdown)]],GWP_100[],7,FALSE),0),0))</f>
        <v/>
      </c>
      <c r="BN56" s="15" t="str">
        <f>IF(ISBLANK(Strom[[#This Row],[Wert 
(Zahl)]]),"",IFERROR(Strom[[#This Row],[Scope 1 SF6 '[kg SF6']]]*IFERROR(VLOOKUP("SF6",GWP_100[],8,FALSE),0),0))</f>
        <v/>
      </c>
      <c r="BO56" s="15" t="str">
        <f>IF(ISBLANK(Strom[[#This Row],[Wert 
(Zahl)]]),"",IFERROR(Strom[[#This Row],[Scope 1 NF3 '[kg NF3']]]*IFERROR(VLOOKUP("NF3",GWP_100[],9,FALSE),0),0))</f>
        <v/>
      </c>
      <c r="BP56" s="15" t="str">
        <f>IF(ISBLANK(Strom[[#This Row],[Wert 
(Zahl)]]),"",IFERROR(Strom[[#This Row],[Scope 1 non-Kyoto '[kg non-Kyoto gas']]]*IFERROR(VLOOKUP(Strom[[#This Row],[Emissionsquelle/Aktivität (Dropdown)]],GWP_100[],10,FALSE),0),0))</f>
        <v/>
      </c>
      <c r="BQ56" s="15" t="str">
        <f>IF(ISBLANK(Strom[[#This Row],[Wert 
(Zahl)]]),"",IFERROR(Strom[[#This Row],[Scope 2 CO2 '[kg CO2']]]*IFERROR(VLOOKUP("CO2",GWP_100[],3,FALSE),0),0))</f>
        <v/>
      </c>
      <c r="BR56" s="15" t="str">
        <f>IF(ISBLANK(Strom[[#This Row],[Wert 
(Zahl)]]),"",IFERROR(Strom[[#This Row],[Scope 2 CH4 '[kg CH4']]]*IFERROR(VLOOKUP("CH4",GWP_100[],4,FALSE),0),0))</f>
        <v/>
      </c>
      <c r="BS56" s="15" t="str">
        <f>IF(ISBLANK(Strom[[#This Row],[Wert 
(Zahl)]]),"",IFERROR(Strom[[#This Row],[Scope 2 N2O '[kg N2O']]]*IFERROR(VLOOKUP("N2O",GWP_100[],5,FALSE),0),0))</f>
        <v/>
      </c>
      <c r="BT56" s="15" t="str">
        <f>IF(ISBLANK(Strom[[#This Row],[Wert 
(Zahl)]]),"",IFERROR(Strom[[#This Row],[Scope 2 HFCs '[kg HFCs']]]*IFERROR(VLOOKUP(Strom[[#This Row],[Emissionsquelle/Aktivität (Dropdown)]],GWP_100[],6,FALSE),0),0))</f>
        <v/>
      </c>
      <c r="BU56" s="15" t="str">
        <f>IF(ISBLANK(Strom[[#This Row],[Wert 
(Zahl)]]),"",IFERROR(Strom[[#This Row],[Scope 2 PFCs '[kg PFCs']]]*IFERROR(VLOOKUP(Strom[[#This Row],[Emissionsquelle/Aktivität (Dropdown)]],GWP_100[],7,FALSE),0),0))</f>
        <v/>
      </c>
      <c r="BV56" s="15" t="str">
        <f>IF(ISBLANK(Strom[[#This Row],[Wert 
(Zahl)]]),"",IFERROR(Strom[[#This Row],[Scope 2 SF6 '[kg SF6']]]*IFERROR(VLOOKUP("SF6",GWP_100[],8,FALSE),0),0))</f>
        <v/>
      </c>
      <c r="BW56" s="15" t="str">
        <f>IF(ISBLANK(Strom[[#This Row],[Wert 
(Zahl)]]),"",IFERROR(Strom[[#This Row],[Scope 2 NF3 '[kg NF3']]]*IFERROR(VLOOKUP("NF3",GWP_100[],9,FALSE),0),0))</f>
        <v/>
      </c>
      <c r="BX56" s="15" t="str">
        <f>IF(ISBLANK(Strom[[#This Row],[Wert 
(Zahl)]]),"",IFERROR(Strom[[#This Row],[Scope 2 non-Kyoto '[kg non-Kyoto gas']]]*IFERROR(VLOOKUP(Strom[[#This Row],[Emissionsquelle/Aktivität (Dropdown)]],GWP_100[],10,FALSE),0),0))</f>
        <v/>
      </c>
    </row>
    <row r="57" spans="2:76" s="89" customFormat="1" x14ac:dyDescent="0.35">
      <c r="B57" s="604"/>
      <c r="C57" s="10" t="str">
        <f t="shared" si="1"/>
        <v>Strom</v>
      </c>
      <c r="D57" s="90"/>
      <c r="E57" s="90"/>
      <c r="F57" s="288"/>
      <c r="G57" s="10" t="str">
        <f>IFERROR(VLOOKUP(Strom[[#This Row],[Thema_Bezeichung]],EFs_Strom[],4,FALSE),"")</f>
        <v/>
      </c>
      <c r="H57" s="90"/>
      <c r="I57" s="90"/>
      <c r="J57" s="90"/>
      <c r="K57" s="90"/>
      <c r="L57" s="289" t="str">
        <f>IF(ISBLANK(Strom[[#This Row],[Wert 
(Zahl)]]),"", SUM(Strom[[#This Row],[Scope 1 CO2e '[kg CO2e']]],Strom[[#This Row],[Scope 2 CO2e '[kg CO2e']]],Strom[[#This Row],[Scope 3 CO2e '[kg CO2e']]]))</f>
        <v/>
      </c>
      <c r="M57" s="289" t="str">
        <f>IF(OR(ISBLANK(Strom[[#This Row],[Wert 
(Zahl)]]),Strom[[#This Row],[Emissionsquelle/Aktivität (Dropdown)]]&lt;&gt;"Strombezug (Deutschland)"),"", SUM(Strom[[#This Row],[Scope 1 CO2e '[kg CO2e']]],Strom[[#This Row],[Scope 2 CO2e market-based '[kg CO2e']]],Strom[[#This Row],[Scope 3 CO2e '[kg CO2e']]]))</f>
        <v/>
      </c>
      <c r="N57" s="158"/>
      <c r="O57" s="15" t="str">
        <f>IF(ISBLANK(Strom[[#This Row],[Emissionsquelle/Aktivität (Dropdown)]]),"",CONCATENATE(Strom[[#This Row],[Sektor_Thema]]," - ",Strom[[#This Row],[Emissionsquelle/Aktivität (Dropdown)]]))</f>
        <v/>
      </c>
      <c r="P57" s="15" t="str">
        <f>IF(ISBLANK(Strom[[#This Row],[Emissionsquelle/Aktivität (Dropdown)]]),"",AND(Strom[[#This Row],[Emissionsquelle/Aktivität (Dropdown)]]="Strombezug (Deutschland)",ISNUMBER(Strom[[#This Row],[Scope-2-Emissionsfaktor Vertragsstrommix
'[g CO2e/kWh']
(falls verfügbar)]])))</f>
        <v/>
      </c>
      <c r="Q57" s="15" t="str">
        <f>IFERROR(VLOOKUP(Strom[[#This Row],[Thema_Bezeichung]],EFs_Strom[],5,FALSE),"")</f>
        <v/>
      </c>
      <c r="R57" s="15" t="str">
        <f>IFERROR(VLOOKUP(Strom[[#This Row],[Thema_Bezeichung]],EFs_Strom[],6,FALSE),"")</f>
        <v/>
      </c>
      <c r="S57" s="15" t="str">
        <f>IFERROR(VLOOKUP(Strom[[#This Row],[Thema_Bezeichung]],EFs_Strom[],7,FALSE),"")</f>
        <v/>
      </c>
      <c r="T57" s="15" t="str">
        <f>IFERROR(VLOOKUP(Strom[[#This Row],[Thema_Bezeichung]],EFs_Strom[],8,FALSE),"")</f>
        <v/>
      </c>
      <c r="U57" s="15" t="str">
        <f>IFERROR(VLOOKUP(Strom[[#This Row],[Thema_Bezeichung]],EFs_Strom[],9,FALSE),"")</f>
        <v/>
      </c>
      <c r="V57" s="15" t="str">
        <f>IFERROR(VLOOKUP(Strom[[#This Row],[Thema_Bezeichung]],EFs_Strom[],10,FALSE),"")</f>
        <v/>
      </c>
      <c r="W57" s="15" t="str">
        <f>IFERROR(VLOOKUP(Strom[[#This Row],[Thema_Bezeichung]],EFs_Strom[],11,FALSE),"")</f>
        <v/>
      </c>
      <c r="X57" s="15" t="str">
        <f>IFERROR(VLOOKUP(Strom[[#This Row],[Thema_Bezeichung]],EFs_Strom[],12,FALSE),"")</f>
        <v/>
      </c>
      <c r="Y57" s="15" t="str">
        <f>IFERROR(VLOOKUP(Strom[[#This Row],[Thema_Bezeichung]],EFs_Strom[],13,FALSE),"")</f>
        <v/>
      </c>
      <c r="Z57" s="15" t="str">
        <f>IFERROR(VLOOKUP(Strom[[#This Row],[Thema_Bezeichung]],EFs_Strom[],14,FALSE),"")</f>
        <v/>
      </c>
      <c r="AA57" s="15" t="str">
        <f>IFERROR(VLOOKUP(Strom[[#This Row],[Thema_Bezeichung]],EFs_Strom[],15,FALSE),"")</f>
        <v/>
      </c>
      <c r="AB57" s="15" t="str">
        <f>IF(Strom[[#This Row],[Vertragsstrommix angegegeben?]]=TRUE,Strom[[#This Row],[Scope-2-Emissionsfaktor Vertragsstrommix
'[g CO2e/kWh']
(falls verfügbar)]]/1000,IFERROR(VLOOKUP(Strom[[#This Row],[Thema_Bezeichung]],EFs_Strom[],15,FALSE),""))</f>
        <v/>
      </c>
      <c r="AC57" s="15" t="str">
        <f>IFERROR(VLOOKUP(Strom[[#This Row],[Thema_Bezeichung]],EFs_Strom[],16,FALSE),"")</f>
        <v/>
      </c>
      <c r="AD57" s="15" t="str">
        <f>IFERROR(VLOOKUP(Strom[[#This Row],[Thema_Bezeichung]],EFs_Strom[],17,FALSE),"")</f>
        <v/>
      </c>
      <c r="AE57" s="15" t="str">
        <f>IFERROR(VLOOKUP(Strom[[#This Row],[Thema_Bezeichung]],EFs_Strom[],18,FALSE),"")</f>
        <v/>
      </c>
      <c r="AF57" s="15" t="str">
        <f>IFERROR(VLOOKUP(Strom[[#This Row],[Thema_Bezeichung]],EFs_Strom[],19,FALSE),"")</f>
        <v/>
      </c>
      <c r="AG57" s="15" t="str">
        <f>IFERROR(VLOOKUP(Strom[[#This Row],[Thema_Bezeichung]],EFs_Strom[],20,FALSE),"")</f>
        <v/>
      </c>
      <c r="AH57" s="15" t="str">
        <f>IFERROR(VLOOKUP(Strom[[#This Row],[Thema_Bezeichung]],EFs_Strom[],21,FALSE),"")</f>
        <v/>
      </c>
      <c r="AI57" s="15" t="str">
        <f>IFERROR(VLOOKUP(Strom[[#This Row],[Thema_Bezeichung]],EFs_Strom[],22,FALSE),"")</f>
        <v/>
      </c>
      <c r="AJ57" s="15" t="str">
        <f>IFERROR(VLOOKUP(Strom[[#This Row],[Thema_Bezeichung]],EFs_Strom[],23,FALSE),"")</f>
        <v/>
      </c>
      <c r="AK57" s="15" t="str">
        <f>IFERROR(VLOOKUP(Strom[[#This Row],[Thema_Bezeichung]],EFs_Strom[],24,FALSE),"")</f>
        <v/>
      </c>
      <c r="AL57" s="15" t="str">
        <f>IFERROR(VLOOKUP(Strom[[#This Row],[Thema_Bezeichung]],EFs_Strom[],30,FALSE),"")</f>
        <v/>
      </c>
      <c r="AM57" s="15" t="str">
        <f>IFERROR(Strom[[#This Row],[Wert 
(Zahl)]]*Strom[[#This Row],[EF Scope 1 CO2e
(kg CO2e/Einheit)]],"")</f>
        <v/>
      </c>
      <c r="AN57" s="15" t="str">
        <f>IFERROR(Strom[[#This Row],[Wert 
(Zahl)]]*Strom[[#This Row],[EF Scope 2 CO2e
(kg CO2e/Einheit)]],"")</f>
        <v/>
      </c>
      <c r="AO57" s="15" t="str">
        <f>IFERROR(Strom[[#This Row],[Wert 
(Zahl)]]*Strom[[#This Row],[EF Scope 3 CO2e
(kg CO2e/Einheit)]],"")</f>
        <v/>
      </c>
      <c r="AP57" s="15" t="str">
        <f>IFERROR(Strom[[#This Row],[Wert 
(Zahl)]]*Strom[[#This Row],[EF Scope 1 CO2 biogen
(kg CO2 /Einheit)]],"")</f>
        <v/>
      </c>
      <c r="AQ57" s="15" t="str">
        <f>IFERROR(Strom[[#This Row],[Wert 
(Zahl)]]*Strom[[#This Row],[Scope 2 Emissionsfaktor market-based '[kg CO2e/Einheit']]],"")</f>
        <v/>
      </c>
      <c r="AR57" s="15" t="str">
        <f>IFERROR(Strom[[#This Row],[Vermeidungsfaktor '[kg CO2e/Einheit']]]*Strom[[#This Row],[Wert 
(Zahl)]],"")</f>
        <v/>
      </c>
      <c r="AS57" s="15" t="str">
        <f>IFERROR(Strom[[#This Row],[Wert 
(Zahl)]]*Strom[[#This Row],[EF Scope 1 CO2
(kg CO2/Einheit)]],"")</f>
        <v/>
      </c>
      <c r="AT57" s="15" t="str">
        <f>IFERROR(Strom[[#This Row],[Wert 
(Zahl)]]*Strom[[#This Row],[EF Scope 1 CH4
(kg CH4/Einheit)]],"")</f>
        <v/>
      </c>
      <c r="AU57" s="15" t="str">
        <f>IFERROR(Strom[[#This Row],[Wert 
(Zahl)]]*Strom[[#This Row],[EF Scope 1 N2O
(kg N2O/Einheit)]],"")</f>
        <v/>
      </c>
      <c r="AV57" s="15" t="str">
        <f>IFERROR(Strom[[#This Row],[Wert 
(Zahl)]]*Strom[[#This Row],[EF Scope 1 HFCs
(kg HFCs/Einheit)]],"")</f>
        <v/>
      </c>
      <c r="AW57" s="15" t="str">
        <f>IFERROR(Strom[[#This Row],[Wert 
(Zahl)]]*Strom[[#This Row],[EF Scope 1 PFCs
(kg PFCs/Einheit)]],"")</f>
        <v/>
      </c>
      <c r="AX57" s="15" t="str">
        <f>IFERROR(Strom[[#This Row],[Wert 
(Zahl)]]*Strom[[#This Row],[EF Scope 1 SF6
(kg SF6/Einheit)]],"")</f>
        <v/>
      </c>
      <c r="AY57" s="15" t="str">
        <f>IFERROR(Strom[[#This Row],[Wert 
(Zahl)]]*Strom[[#This Row],[EF Scope 1 NF3
(kg NF3/Einheit)]],"")</f>
        <v/>
      </c>
      <c r="AZ57" s="15" t="str">
        <f>IFERROR(Strom[[#This Row],[Wert 
(Zahl)]]*Strom[[#This Row],[EF Scope 1 Nicht-Kyoto-Gase (kg Nicht-Kyoto-Gase/Einheit)]],"")</f>
        <v/>
      </c>
      <c r="BA57" s="15" t="str">
        <f>IFERROR(Strom[[#This Row],[Wert 
(Zahl)]]*Strom[[#This Row],[EF Scope 2 CO2
(kg CO2/Einheit)]],"")</f>
        <v/>
      </c>
      <c r="BB57" s="15" t="str">
        <f>IFERROR(Strom[[#This Row],[Wert 
(Zahl)]]*Strom[[#This Row],[EF Scope 2 CH4
(kg CH4/Einheit)]],"")</f>
        <v/>
      </c>
      <c r="BC57" s="15" t="str">
        <f>IFERROR(Strom[[#This Row],[Wert 
(Zahl)]]*Strom[[#This Row],[EF Scope 2 N2O
(kg N2O/Einheit)]],"")</f>
        <v/>
      </c>
      <c r="BD57" s="15" t="str">
        <f>IFERROR(Strom[[#This Row],[Wert 
(Zahl)]]*Strom[[#This Row],[EF Scope 2 HFCs
(kg HFCs/Einheit)]],"")</f>
        <v/>
      </c>
      <c r="BE57" s="15" t="str">
        <f>IFERROR(Strom[[#This Row],[Wert 
(Zahl)]]*Strom[[#This Row],[EF Scope 2 PFCs
(kg PFCs/Einheit)]],"")</f>
        <v/>
      </c>
      <c r="BF57" s="15" t="str">
        <f>IFERROR(Strom[[#This Row],[Wert 
(Zahl)]]*Strom[[#This Row],[EF Scope 2 SF6
(kg SF6/Einheit)]],"")</f>
        <v/>
      </c>
      <c r="BG57" s="15" t="str">
        <f>IFERROR(Strom[[#This Row],[Wert 
(Zahl)]]*Strom[[#This Row],[EF Scope 2 NF3
(kg NF3/Einheit)]],"")</f>
        <v/>
      </c>
      <c r="BH57" s="15" t="str">
        <f>IFERROR(Strom[[#This Row],[Wert 
(Zahl)]]*Strom[[#This Row],[EF Scope 2 Nicht-Kyoto-Gase (kg Nicht-Kyoto-Gase/Einheit)]],"")</f>
        <v/>
      </c>
      <c r="BI57" s="15" t="str">
        <f>IF(ISBLANK(Strom[[#This Row],[Wert 
(Zahl)]]),"",IFERROR(Strom[[#This Row],[Scope 1 CO2 '[kg CO2']]]*IFERROR(VLOOKUP("CO2",GWP_100[],3,FALSE),0),0))</f>
        <v/>
      </c>
      <c r="BJ57" s="15" t="str">
        <f>IF(ISBLANK(Strom[[#This Row],[Wert 
(Zahl)]]),"",IFERROR(Strom[[#This Row],[Scope 1 CH4 '[kg CH4']]]*IFERROR(VLOOKUP("CH4",GWP_100[],4,FALSE),0),0))</f>
        <v/>
      </c>
      <c r="BK57" s="15" t="str">
        <f>IF(ISBLANK(Strom[[#This Row],[Wert 
(Zahl)]]),"",IFERROR(Strom[[#This Row],[Scope 1 N2O '[kg N2O']]]*IFERROR(VLOOKUP("N2O",GWP_100[],5,FALSE),0),0))</f>
        <v/>
      </c>
      <c r="BL57" s="15" t="str">
        <f>IF(ISBLANK(Strom[[#This Row],[Wert 
(Zahl)]]),"",IFERROR(Strom[[#This Row],[Scope 1 HFCs '[kg HFCs']]]*IFERROR(VLOOKUP(Strom[[#This Row],[Emissionsquelle/Aktivität (Dropdown)]],GWP_100[],6,FALSE),0),0))</f>
        <v/>
      </c>
      <c r="BM57" s="15" t="str">
        <f>IF(ISBLANK(Strom[[#This Row],[Wert 
(Zahl)]]),"",IFERROR(Strom[[#This Row],[Scope 1 PFCs '[kg PFCs']]]*IFERROR(VLOOKUP(Strom[[#This Row],[Emissionsquelle/Aktivität (Dropdown)]],GWP_100[],7,FALSE),0),0))</f>
        <v/>
      </c>
      <c r="BN57" s="15" t="str">
        <f>IF(ISBLANK(Strom[[#This Row],[Wert 
(Zahl)]]),"",IFERROR(Strom[[#This Row],[Scope 1 SF6 '[kg SF6']]]*IFERROR(VLOOKUP("SF6",GWP_100[],8,FALSE),0),0))</f>
        <v/>
      </c>
      <c r="BO57" s="15" t="str">
        <f>IF(ISBLANK(Strom[[#This Row],[Wert 
(Zahl)]]),"",IFERROR(Strom[[#This Row],[Scope 1 NF3 '[kg NF3']]]*IFERROR(VLOOKUP("NF3",GWP_100[],9,FALSE),0),0))</f>
        <v/>
      </c>
      <c r="BP57" s="15" t="str">
        <f>IF(ISBLANK(Strom[[#This Row],[Wert 
(Zahl)]]),"",IFERROR(Strom[[#This Row],[Scope 1 non-Kyoto '[kg non-Kyoto gas']]]*IFERROR(VLOOKUP(Strom[[#This Row],[Emissionsquelle/Aktivität (Dropdown)]],GWP_100[],10,FALSE),0),0))</f>
        <v/>
      </c>
      <c r="BQ57" s="15" t="str">
        <f>IF(ISBLANK(Strom[[#This Row],[Wert 
(Zahl)]]),"",IFERROR(Strom[[#This Row],[Scope 2 CO2 '[kg CO2']]]*IFERROR(VLOOKUP("CO2",GWP_100[],3,FALSE),0),0))</f>
        <v/>
      </c>
      <c r="BR57" s="15" t="str">
        <f>IF(ISBLANK(Strom[[#This Row],[Wert 
(Zahl)]]),"",IFERROR(Strom[[#This Row],[Scope 2 CH4 '[kg CH4']]]*IFERROR(VLOOKUP("CH4",GWP_100[],4,FALSE),0),0))</f>
        <v/>
      </c>
      <c r="BS57" s="15" t="str">
        <f>IF(ISBLANK(Strom[[#This Row],[Wert 
(Zahl)]]),"",IFERROR(Strom[[#This Row],[Scope 2 N2O '[kg N2O']]]*IFERROR(VLOOKUP("N2O",GWP_100[],5,FALSE),0),0))</f>
        <v/>
      </c>
      <c r="BT57" s="15" t="str">
        <f>IF(ISBLANK(Strom[[#This Row],[Wert 
(Zahl)]]),"",IFERROR(Strom[[#This Row],[Scope 2 HFCs '[kg HFCs']]]*IFERROR(VLOOKUP(Strom[[#This Row],[Emissionsquelle/Aktivität (Dropdown)]],GWP_100[],6,FALSE),0),0))</f>
        <v/>
      </c>
      <c r="BU57" s="15" t="str">
        <f>IF(ISBLANK(Strom[[#This Row],[Wert 
(Zahl)]]),"",IFERROR(Strom[[#This Row],[Scope 2 PFCs '[kg PFCs']]]*IFERROR(VLOOKUP(Strom[[#This Row],[Emissionsquelle/Aktivität (Dropdown)]],GWP_100[],7,FALSE),0),0))</f>
        <v/>
      </c>
      <c r="BV57" s="15" t="str">
        <f>IF(ISBLANK(Strom[[#This Row],[Wert 
(Zahl)]]),"",IFERROR(Strom[[#This Row],[Scope 2 SF6 '[kg SF6']]]*IFERROR(VLOOKUP("SF6",GWP_100[],8,FALSE),0),0))</f>
        <v/>
      </c>
      <c r="BW57" s="15" t="str">
        <f>IF(ISBLANK(Strom[[#This Row],[Wert 
(Zahl)]]),"",IFERROR(Strom[[#This Row],[Scope 2 NF3 '[kg NF3']]]*IFERROR(VLOOKUP("NF3",GWP_100[],9,FALSE),0),0))</f>
        <v/>
      </c>
      <c r="BX57" s="15" t="str">
        <f>IF(ISBLANK(Strom[[#This Row],[Wert 
(Zahl)]]),"",IFERROR(Strom[[#This Row],[Scope 2 non-Kyoto '[kg non-Kyoto gas']]]*IFERROR(VLOOKUP(Strom[[#This Row],[Emissionsquelle/Aktivität (Dropdown)]],GWP_100[],10,FALSE),0),0))</f>
        <v/>
      </c>
    </row>
    <row r="58" spans="2:76" s="89" customFormat="1" x14ac:dyDescent="0.35">
      <c r="B58" s="604"/>
      <c r="C58" s="10" t="str">
        <f t="shared" si="1"/>
        <v>Strom</v>
      </c>
      <c r="D58" s="90"/>
      <c r="E58" s="90"/>
      <c r="F58" s="288"/>
      <c r="G58" s="10" t="str">
        <f>IFERROR(VLOOKUP(Strom[[#This Row],[Thema_Bezeichung]],EFs_Strom[],4,FALSE),"")</f>
        <v/>
      </c>
      <c r="H58" s="90"/>
      <c r="I58" s="90"/>
      <c r="J58" s="90"/>
      <c r="K58" s="90"/>
      <c r="L58" s="289" t="str">
        <f>IF(ISBLANK(Strom[[#This Row],[Wert 
(Zahl)]]),"", SUM(Strom[[#This Row],[Scope 1 CO2e '[kg CO2e']]],Strom[[#This Row],[Scope 2 CO2e '[kg CO2e']]],Strom[[#This Row],[Scope 3 CO2e '[kg CO2e']]]))</f>
        <v/>
      </c>
      <c r="M58" s="289" t="str">
        <f>IF(OR(ISBLANK(Strom[[#This Row],[Wert 
(Zahl)]]),Strom[[#This Row],[Emissionsquelle/Aktivität (Dropdown)]]&lt;&gt;"Strombezug (Deutschland)"),"", SUM(Strom[[#This Row],[Scope 1 CO2e '[kg CO2e']]],Strom[[#This Row],[Scope 2 CO2e market-based '[kg CO2e']]],Strom[[#This Row],[Scope 3 CO2e '[kg CO2e']]]))</f>
        <v/>
      </c>
      <c r="N58" s="158"/>
      <c r="O58" s="15" t="str">
        <f>IF(ISBLANK(Strom[[#This Row],[Emissionsquelle/Aktivität (Dropdown)]]),"",CONCATENATE(Strom[[#This Row],[Sektor_Thema]]," - ",Strom[[#This Row],[Emissionsquelle/Aktivität (Dropdown)]]))</f>
        <v/>
      </c>
      <c r="P58" s="15" t="str">
        <f>IF(ISBLANK(Strom[[#This Row],[Emissionsquelle/Aktivität (Dropdown)]]),"",AND(Strom[[#This Row],[Emissionsquelle/Aktivität (Dropdown)]]="Strombezug (Deutschland)",ISNUMBER(Strom[[#This Row],[Scope-2-Emissionsfaktor Vertragsstrommix
'[g CO2e/kWh']
(falls verfügbar)]])))</f>
        <v/>
      </c>
      <c r="Q58" s="15" t="str">
        <f>IFERROR(VLOOKUP(Strom[[#This Row],[Thema_Bezeichung]],EFs_Strom[],5,FALSE),"")</f>
        <v/>
      </c>
      <c r="R58" s="15" t="str">
        <f>IFERROR(VLOOKUP(Strom[[#This Row],[Thema_Bezeichung]],EFs_Strom[],6,FALSE),"")</f>
        <v/>
      </c>
      <c r="S58" s="15" t="str">
        <f>IFERROR(VLOOKUP(Strom[[#This Row],[Thema_Bezeichung]],EFs_Strom[],7,FALSE),"")</f>
        <v/>
      </c>
      <c r="T58" s="15" t="str">
        <f>IFERROR(VLOOKUP(Strom[[#This Row],[Thema_Bezeichung]],EFs_Strom[],8,FALSE),"")</f>
        <v/>
      </c>
      <c r="U58" s="15" t="str">
        <f>IFERROR(VLOOKUP(Strom[[#This Row],[Thema_Bezeichung]],EFs_Strom[],9,FALSE),"")</f>
        <v/>
      </c>
      <c r="V58" s="15" t="str">
        <f>IFERROR(VLOOKUP(Strom[[#This Row],[Thema_Bezeichung]],EFs_Strom[],10,FALSE),"")</f>
        <v/>
      </c>
      <c r="W58" s="15" t="str">
        <f>IFERROR(VLOOKUP(Strom[[#This Row],[Thema_Bezeichung]],EFs_Strom[],11,FALSE),"")</f>
        <v/>
      </c>
      <c r="X58" s="15" t="str">
        <f>IFERROR(VLOOKUP(Strom[[#This Row],[Thema_Bezeichung]],EFs_Strom[],12,FALSE),"")</f>
        <v/>
      </c>
      <c r="Y58" s="15" t="str">
        <f>IFERROR(VLOOKUP(Strom[[#This Row],[Thema_Bezeichung]],EFs_Strom[],13,FALSE),"")</f>
        <v/>
      </c>
      <c r="Z58" s="15" t="str">
        <f>IFERROR(VLOOKUP(Strom[[#This Row],[Thema_Bezeichung]],EFs_Strom[],14,FALSE),"")</f>
        <v/>
      </c>
      <c r="AA58" s="15" t="str">
        <f>IFERROR(VLOOKUP(Strom[[#This Row],[Thema_Bezeichung]],EFs_Strom[],15,FALSE),"")</f>
        <v/>
      </c>
      <c r="AB58" s="15" t="str">
        <f>IF(Strom[[#This Row],[Vertragsstrommix angegegeben?]]=TRUE,Strom[[#This Row],[Scope-2-Emissionsfaktor Vertragsstrommix
'[g CO2e/kWh']
(falls verfügbar)]]/1000,IFERROR(VLOOKUP(Strom[[#This Row],[Thema_Bezeichung]],EFs_Strom[],15,FALSE),""))</f>
        <v/>
      </c>
      <c r="AC58" s="15" t="str">
        <f>IFERROR(VLOOKUP(Strom[[#This Row],[Thema_Bezeichung]],EFs_Strom[],16,FALSE),"")</f>
        <v/>
      </c>
      <c r="AD58" s="15" t="str">
        <f>IFERROR(VLOOKUP(Strom[[#This Row],[Thema_Bezeichung]],EFs_Strom[],17,FALSE),"")</f>
        <v/>
      </c>
      <c r="AE58" s="15" t="str">
        <f>IFERROR(VLOOKUP(Strom[[#This Row],[Thema_Bezeichung]],EFs_Strom[],18,FALSE),"")</f>
        <v/>
      </c>
      <c r="AF58" s="15" t="str">
        <f>IFERROR(VLOOKUP(Strom[[#This Row],[Thema_Bezeichung]],EFs_Strom[],19,FALSE),"")</f>
        <v/>
      </c>
      <c r="AG58" s="15" t="str">
        <f>IFERROR(VLOOKUP(Strom[[#This Row],[Thema_Bezeichung]],EFs_Strom[],20,FALSE),"")</f>
        <v/>
      </c>
      <c r="AH58" s="15" t="str">
        <f>IFERROR(VLOOKUP(Strom[[#This Row],[Thema_Bezeichung]],EFs_Strom[],21,FALSE),"")</f>
        <v/>
      </c>
      <c r="AI58" s="15" t="str">
        <f>IFERROR(VLOOKUP(Strom[[#This Row],[Thema_Bezeichung]],EFs_Strom[],22,FALSE),"")</f>
        <v/>
      </c>
      <c r="AJ58" s="15" t="str">
        <f>IFERROR(VLOOKUP(Strom[[#This Row],[Thema_Bezeichung]],EFs_Strom[],23,FALSE),"")</f>
        <v/>
      </c>
      <c r="AK58" s="15" t="str">
        <f>IFERROR(VLOOKUP(Strom[[#This Row],[Thema_Bezeichung]],EFs_Strom[],24,FALSE),"")</f>
        <v/>
      </c>
      <c r="AL58" s="15" t="str">
        <f>IFERROR(VLOOKUP(Strom[[#This Row],[Thema_Bezeichung]],EFs_Strom[],30,FALSE),"")</f>
        <v/>
      </c>
      <c r="AM58" s="15" t="str">
        <f>IFERROR(Strom[[#This Row],[Wert 
(Zahl)]]*Strom[[#This Row],[EF Scope 1 CO2e
(kg CO2e/Einheit)]],"")</f>
        <v/>
      </c>
      <c r="AN58" s="15" t="str">
        <f>IFERROR(Strom[[#This Row],[Wert 
(Zahl)]]*Strom[[#This Row],[EF Scope 2 CO2e
(kg CO2e/Einheit)]],"")</f>
        <v/>
      </c>
      <c r="AO58" s="15" t="str">
        <f>IFERROR(Strom[[#This Row],[Wert 
(Zahl)]]*Strom[[#This Row],[EF Scope 3 CO2e
(kg CO2e/Einheit)]],"")</f>
        <v/>
      </c>
      <c r="AP58" s="15" t="str">
        <f>IFERROR(Strom[[#This Row],[Wert 
(Zahl)]]*Strom[[#This Row],[EF Scope 1 CO2 biogen
(kg CO2 /Einheit)]],"")</f>
        <v/>
      </c>
      <c r="AQ58" s="15" t="str">
        <f>IFERROR(Strom[[#This Row],[Wert 
(Zahl)]]*Strom[[#This Row],[Scope 2 Emissionsfaktor market-based '[kg CO2e/Einheit']]],"")</f>
        <v/>
      </c>
      <c r="AR58" s="15" t="str">
        <f>IFERROR(Strom[[#This Row],[Vermeidungsfaktor '[kg CO2e/Einheit']]]*Strom[[#This Row],[Wert 
(Zahl)]],"")</f>
        <v/>
      </c>
      <c r="AS58" s="15" t="str">
        <f>IFERROR(Strom[[#This Row],[Wert 
(Zahl)]]*Strom[[#This Row],[EF Scope 1 CO2
(kg CO2/Einheit)]],"")</f>
        <v/>
      </c>
      <c r="AT58" s="15" t="str">
        <f>IFERROR(Strom[[#This Row],[Wert 
(Zahl)]]*Strom[[#This Row],[EF Scope 1 CH4
(kg CH4/Einheit)]],"")</f>
        <v/>
      </c>
      <c r="AU58" s="15" t="str">
        <f>IFERROR(Strom[[#This Row],[Wert 
(Zahl)]]*Strom[[#This Row],[EF Scope 1 N2O
(kg N2O/Einheit)]],"")</f>
        <v/>
      </c>
      <c r="AV58" s="15" t="str">
        <f>IFERROR(Strom[[#This Row],[Wert 
(Zahl)]]*Strom[[#This Row],[EF Scope 1 HFCs
(kg HFCs/Einheit)]],"")</f>
        <v/>
      </c>
      <c r="AW58" s="15" t="str">
        <f>IFERROR(Strom[[#This Row],[Wert 
(Zahl)]]*Strom[[#This Row],[EF Scope 1 PFCs
(kg PFCs/Einheit)]],"")</f>
        <v/>
      </c>
      <c r="AX58" s="15" t="str">
        <f>IFERROR(Strom[[#This Row],[Wert 
(Zahl)]]*Strom[[#This Row],[EF Scope 1 SF6
(kg SF6/Einheit)]],"")</f>
        <v/>
      </c>
      <c r="AY58" s="15" t="str">
        <f>IFERROR(Strom[[#This Row],[Wert 
(Zahl)]]*Strom[[#This Row],[EF Scope 1 NF3
(kg NF3/Einheit)]],"")</f>
        <v/>
      </c>
      <c r="AZ58" s="15" t="str">
        <f>IFERROR(Strom[[#This Row],[Wert 
(Zahl)]]*Strom[[#This Row],[EF Scope 1 Nicht-Kyoto-Gase (kg Nicht-Kyoto-Gase/Einheit)]],"")</f>
        <v/>
      </c>
      <c r="BA58" s="15" t="str">
        <f>IFERROR(Strom[[#This Row],[Wert 
(Zahl)]]*Strom[[#This Row],[EF Scope 2 CO2
(kg CO2/Einheit)]],"")</f>
        <v/>
      </c>
      <c r="BB58" s="15" t="str">
        <f>IFERROR(Strom[[#This Row],[Wert 
(Zahl)]]*Strom[[#This Row],[EF Scope 2 CH4
(kg CH4/Einheit)]],"")</f>
        <v/>
      </c>
      <c r="BC58" s="15" t="str">
        <f>IFERROR(Strom[[#This Row],[Wert 
(Zahl)]]*Strom[[#This Row],[EF Scope 2 N2O
(kg N2O/Einheit)]],"")</f>
        <v/>
      </c>
      <c r="BD58" s="15" t="str">
        <f>IFERROR(Strom[[#This Row],[Wert 
(Zahl)]]*Strom[[#This Row],[EF Scope 2 HFCs
(kg HFCs/Einheit)]],"")</f>
        <v/>
      </c>
      <c r="BE58" s="15" t="str">
        <f>IFERROR(Strom[[#This Row],[Wert 
(Zahl)]]*Strom[[#This Row],[EF Scope 2 PFCs
(kg PFCs/Einheit)]],"")</f>
        <v/>
      </c>
      <c r="BF58" s="15" t="str">
        <f>IFERROR(Strom[[#This Row],[Wert 
(Zahl)]]*Strom[[#This Row],[EF Scope 2 SF6
(kg SF6/Einheit)]],"")</f>
        <v/>
      </c>
      <c r="BG58" s="15" t="str">
        <f>IFERROR(Strom[[#This Row],[Wert 
(Zahl)]]*Strom[[#This Row],[EF Scope 2 NF3
(kg NF3/Einheit)]],"")</f>
        <v/>
      </c>
      <c r="BH58" s="15" t="str">
        <f>IFERROR(Strom[[#This Row],[Wert 
(Zahl)]]*Strom[[#This Row],[EF Scope 2 Nicht-Kyoto-Gase (kg Nicht-Kyoto-Gase/Einheit)]],"")</f>
        <v/>
      </c>
      <c r="BI58" s="15" t="str">
        <f>IF(ISBLANK(Strom[[#This Row],[Wert 
(Zahl)]]),"",IFERROR(Strom[[#This Row],[Scope 1 CO2 '[kg CO2']]]*IFERROR(VLOOKUP("CO2",GWP_100[],3,FALSE),0),0))</f>
        <v/>
      </c>
      <c r="BJ58" s="15" t="str">
        <f>IF(ISBLANK(Strom[[#This Row],[Wert 
(Zahl)]]),"",IFERROR(Strom[[#This Row],[Scope 1 CH4 '[kg CH4']]]*IFERROR(VLOOKUP("CH4",GWP_100[],4,FALSE),0),0))</f>
        <v/>
      </c>
      <c r="BK58" s="15" t="str">
        <f>IF(ISBLANK(Strom[[#This Row],[Wert 
(Zahl)]]),"",IFERROR(Strom[[#This Row],[Scope 1 N2O '[kg N2O']]]*IFERROR(VLOOKUP("N2O",GWP_100[],5,FALSE),0),0))</f>
        <v/>
      </c>
      <c r="BL58" s="15" t="str">
        <f>IF(ISBLANK(Strom[[#This Row],[Wert 
(Zahl)]]),"",IFERROR(Strom[[#This Row],[Scope 1 HFCs '[kg HFCs']]]*IFERROR(VLOOKUP(Strom[[#This Row],[Emissionsquelle/Aktivität (Dropdown)]],GWP_100[],6,FALSE),0),0))</f>
        <v/>
      </c>
      <c r="BM58" s="15" t="str">
        <f>IF(ISBLANK(Strom[[#This Row],[Wert 
(Zahl)]]),"",IFERROR(Strom[[#This Row],[Scope 1 PFCs '[kg PFCs']]]*IFERROR(VLOOKUP(Strom[[#This Row],[Emissionsquelle/Aktivität (Dropdown)]],GWP_100[],7,FALSE),0),0))</f>
        <v/>
      </c>
      <c r="BN58" s="15" t="str">
        <f>IF(ISBLANK(Strom[[#This Row],[Wert 
(Zahl)]]),"",IFERROR(Strom[[#This Row],[Scope 1 SF6 '[kg SF6']]]*IFERROR(VLOOKUP("SF6",GWP_100[],8,FALSE),0),0))</f>
        <v/>
      </c>
      <c r="BO58" s="15" t="str">
        <f>IF(ISBLANK(Strom[[#This Row],[Wert 
(Zahl)]]),"",IFERROR(Strom[[#This Row],[Scope 1 NF3 '[kg NF3']]]*IFERROR(VLOOKUP("NF3",GWP_100[],9,FALSE),0),0))</f>
        <v/>
      </c>
      <c r="BP58" s="15" t="str">
        <f>IF(ISBLANK(Strom[[#This Row],[Wert 
(Zahl)]]),"",IFERROR(Strom[[#This Row],[Scope 1 non-Kyoto '[kg non-Kyoto gas']]]*IFERROR(VLOOKUP(Strom[[#This Row],[Emissionsquelle/Aktivität (Dropdown)]],GWP_100[],10,FALSE),0),0))</f>
        <v/>
      </c>
      <c r="BQ58" s="15" t="str">
        <f>IF(ISBLANK(Strom[[#This Row],[Wert 
(Zahl)]]),"",IFERROR(Strom[[#This Row],[Scope 2 CO2 '[kg CO2']]]*IFERROR(VLOOKUP("CO2",GWP_100[],3,FALSE),0),0))</f>
        <v/>
      </c>
      <c r="BR58" s="15" t="str">
        <f>IF(ISBLANK(Strom[[#This Row],[Wert 
(Zahl)]]),"",IFERROR(Strom[[#This Row],[Scope 2 CH4 '[kg CH4']]]*IFERROR(VLOOKUP("CH4",GWP_100[],4,FALSE),0),0))</f>
        <v/>
      </c>
      <c r="BS58" s="15" t="str">
        <f>IF(ISBLANK(Strom[[#This Row],[Wert 
(Zahl)]]),"",IFERROR(Strom[[#This Row],[Scope 2 N2O '[kg N2O']]]*IFERROR(VLOOKUP("N2O",GWP_100[],5,FALSE),0),0))</f>
        <v/>
      </c>
      <c r="BT58" s="15" t="str">
        <f>IF(ISBLANK(Strom[[#This Row],[Wert 
(Zahl)]]),"",IFERROR(Strom[[#This Row],[Scope 2 HFCs '[kg HFCs']]]*IFERROR(VLOOKUP(Strom[[#This Row],[Emissionsquelle/Aktivität (Dropdown)]],GWP_100[],6,FALSE),0),0))</f>
        <v/>
      </c>
      <c r="BU58" s="15" t="str">
        <f>IF(ISBLANK(Strom[[#This Row],[Wert 
(Zahl)]]),"",IFERROR(Strom[[#This Row],[Scope 2 PFCs '[kg PFCs']]]*IFERROR(VLOOKUP(Strom[[#This Row],[Emissionsquelle/Aktivität (Dropdown)]],GWP_100[],7,FALSE),0),0))</f>
        <v/>
      </c>
      <c r="BV58" s="15" t="str">
        <f>IF(ISBLANK(Strom[[#This Row],[Wert 
(Zahl)]]),"",IFERROR(Strom[[#This Row],[Scope 2 SF6 '[kg SF6']]]*IFERROR(VLOOKUP("SF6",GWP_100[],8,FALSE),0),0))</f>
        <v/>
      </c>
      <c r="BW58" s="15" t="str">
        <f>IF(ISBLANK(Strom[[#This Row],[Wert 
(Zahl)]]),"",IFERROR(Strom[[#This Row],[Scope 2 NF3 '[kg NF3']]]*IFERROR(VLOOKUP("NF3",GWP_100[],9,FALSE),0),0))</f>
        <v/>
      </c>
      <c r="BX58" s="15" t="str">
        <f>IF(ISBLANK(Strom[[#This Row],[Wert 
(Zahl)]]),"",IFERROR(Strom[[#This Row],[Scope 2 non-Kyoto '[kg non-Kyoto gas']]]*IFERROR(VLOOKUP(Strom[[#This Row],[Emissionsquelle/Aktivität (Dropdown)]],GWP_100[],10,FALSE),0),0))</f>
        <v/>
      </c>
    </row>
    <row r="59" spans="2:76" s="89" customFormat="1" x14ac:dyDescent="0.35">
      <c r="B59" s="604"/>
      <c r="C59" s="10" t="str">
        <f t="shared" si="1"/>
        <v>Strom</v>
      </c>
      <c r="D59" s="90"/>
      <c r="E59" s="90"/>
      <c r="F59" s="288"/>
      <c r="G59" s="10" t="str">
        <f>IFERROR(VLOOKUP(Strom[[#This Row],[Thema_Bezeichung]],EFs_Strom[],4,FALSE),"")</f>
        <v/>
      </c>
      <c r="H59" s="90"/>
      <c r="I59" s="90"/>
      <c r="J59" s="90"/>
      <c r="K59" s="90"/>
      <c r="L59" s="289" t="str">
        <f>IF(ISBLANK(Strom[[#This Row],[Wert 
(Zahl)]]),"", SUM(Strom[[#This Row],[Scope 1 CO2e '[kg CO2e']]],Strom[[#This Row],[Scope 2 CO2e '[kg CO2e']]],Strom[[#This Row],[Scope 3 CO2e '[kg CO2e']]]))</f>
        <v/>
      </c>
      <c r="M59" s="289" t="str">
        <f>IF(OR(ISBLANK(Strom[[#This Row],[Wert 
(Zahl)]]),Strom[[#This Row],[Emissionsquelle/Aktivität (Dropdown)]]&lt;&gt;"Strombezug (Deutschland)"),"", SUM(Strom[[#This Row],[Scope 1 CO2e '[kg CO2e']]],Strom[[#This Row],[Scope 2 CO2e market-based '[kg CO2e']]],Strom[[#This Row],[Scope 3 CO2e '[kg CO2e']]]))</f>
        <v/>
      </c>
      <c r="N59" s="158"/>
      <c r="O59" s="15" t="str">
        <f>IF(ISBLANK(Strom[[#This Row],[Emissionsquelle/Aktivität (Dropdown)]]),"",CONCATENATE(Strom[[#This Row],[Sektor_Thema]]," - ",Strom[[#This Row],[Emissionsquelle/Aktivität (Dropdown)]]))</f>
        <v/>
      </c>
      <c r="P59" s="15" t="str">
        <f>IF(ISBLANK(Strom[[#This Row],[Emissionsquelle/Aktivität (Dropdown)]]),"",AND(Strom[[#This Row],[Emissionsquelle/Aktivität (Dropdown)]]="Strombezug (Deutschland)",ISNUMBER(Strom[[#This Row],[Scope-2-Emissionsfaktor Vertragsstrommix
'[g CO2e/kWh']
(falls verfügbar)]])))</f>
        <v/>
      </c>
      <c r="Q59" s="15" t="str">
        <f>IFERROR(VLOOKUP(Strom[[#This Row],[Thema_Bezeichung]],EFs_Strom[],5,FALSE),"")</f>
        <v/>
      </c>
      <c r="R59" s="15" t="str">
        <f>IFERROR(VLOOKUP(Strom[[#This Row],[Thema_Bezeichung]],EFs_Strom[],6,FALSE),"")</f>
        <v/>
      </c>
      <c r="S59" s="15" t="str">
        <f>IFERROR(VLOOKUP(Strom[[#This Row],[Thema_Bezeichung]],EFs_Strom[],7,FALSE),"")</f>
        <v/>
      </c>
      <c r="T59" s="15" t="str">
        <f>IFERROR(VLOOKUP(Strom[[#This Row],[Thema_Bezeichung]],EFs_Strom[],8,FALSE),"")</f>
        <v/>
      </c>
      <c r="U59" s="15" t="str">
        <f>IFERROR(VLOOKUP(Strom[[#This Row],[Thema_Bezeichung]],EFs_Strom[],9,FALSE),"")</f>
        <v/>
      </c>
      <c r="V59" s="15" t="str">
        <f>IFERROR(VLOOKUP(Strom[[#This Row],[Thema_Bezeichung]],EFs_Strom[],10,FALSE),"")</f>
        <v/>
      </c>
      <c r="W59" s="15" t="str">
        <f>IFERROR(VLOOKUP(Strom[[#This Row],[Thema_Bezeichung]],EFs_Strom[],11,FALSE),"")</f>
        <v/>
      </c>
      <c r="X59" s="15" t="str">
        <f>IFERROR(VLOOKUP(Strom[[#This Row],[Thema_Bezeichung]],EFs_Strom[],12,FALSE),"")</f>
        <v/>
      </c>
      <c r="Y59" s="15" t="str">
        <f>IFERROR(VLOOKUP(Strom[[#This Row],[Thema_Bezeichung]],EFs_Strom[],13,FALSE),"")</f>
        <v/>
      </c>
      <c r="Z59" s="15" t="str">
        <f>IFERROR(VLOOKUP(Strom[[#This Row],[Thema_Bezeichung]],EFs_Strom[],14,FALSE),"")</f>
        <v/>
      </c>
      <c r="AA59" s="15" t="str">
        <f>IFERROR(VLOOKUP(Strom[[#This Row],[Thema_Bezeichung]],EFs_Strom[],15,FALSE),"")</f>
        <v/>
      </c>
      <c r="AB59" s="15" t="str">
        <f>IF(Strom[[#This Row],[Vertragsstrommix angegegeben?]]=TRUE,Strom[[#This Row],[Scope-2-Emissionsfaktor Vertragsstrommix
'[g CO2e/kWh']
(falls verfügbar)]]/1000,IFERROR(VLOOKUP(Strom[[#This Row],[Thema_Bezeichung]],EFs_Strom[],15,FALSE),""))</f>
        <v/>
      </c>
      <c r="AC59" s="15" t="str">
        <f>IFERROR(VLOOKUP(Strom[[#This Row],[Thema_Bezeichung]],EFs_Strom[],16,FALSE),"")</f>
        <v/>
      </c>
      <c r="AD59" s="15" t="str">
        <f>IFERROR(VLOOKUP(Strom[[#This Row],[Thema_Bezeichung]],EFs_Strom[],17,FALSE),"")</f>
        <v/>
      </c>
      <c r="AE59" s="15" t="str">
        <f>IFERROR(VLOOKUP(Strom[[#This Row],[Thema_Bezeichung]],EFs_Strom[],18,FALSE),"")</f>
        <v/>
      </c>
      <c r="AF59" s="15" t="str">
        <f>IFERROR(VLOOKUP(Strom[[#This Row],[Thema_Bezeichung]],EFs_Strom[],19,FALSE),"")</f>
        <v/>
      </c>
      <c r="AG59" s="15" t="str">
        <f>IFERROR(VLOOKUP(Strom[[#This Row],[Thema_Bezeichung]],EFs_Strom[],20,FALSE),"")</f>
        <v/>
      </c>
      <c r="AH59" s="15" t="str">
        <f>IFERROR(VLOOKUP(Strom[[#This Row],[Thema_Bezeichung]],EFs_Strom[],21,FALSE),"")</f>
        <v/>
      </c>
      <c r="AI59" s="15" t="str">
        <f>IFERROR(VLOOKUP(Strom[[#This Row],[Thema_Bezeichung]],EFs_Strom[],22,FALSE),"")</f>
        <v/>
      </c>
      <c r="AJ59" s="15" t="str">
        <f>IFERROR(VLOOKUP(Strom[[#This Row],[Thema_Bezeichung]],EFs_Strom[],23,FALSE),"")</f>
        <v/>
      </c>
      <c r="AK59" s="15" t="str">
        <f>IFERROR(VLOOKUP(Strom[[#This Row],[Thema_Bezeichung]],EFs_Strom[],24,FALSE),"")</f>
        <v/>
      </c>
      <c r="AL59" s="15" t="str">
        <f>IFERROR(VLOOKUP(Strom[[#This Row],[Thema_Bezeichung]],EFs_Strom[],30,FALSE),"")</f>
        <v/>
      </c>
      <c r="AM59" s="15" t="str">
        <f>IFERROR(Strom[[#This Row],[Wert 
(Zahl)]]*Strom[[#This Row],[EF Scope 1 CO2e
(kg CO2e/Einheit)]],"")</f>
        <v/>
      </c>
      <c r="AN59" s="15" t="str">
        <f>IFERROR(Strom[[#This Row],[Wert 
(Zahl)]]*Strom[[#This Row],[EF Scope 2 CO2e
(kg CO2e/Einheit)]],"")</f>
        <v/>
      </c>
      <c r="AO59" s="15" t="str">
        <f>IFERROR(Strom[[#This Row],[Wert 
(Zahl)]]*Strom[[#This Row],[EF Scope 3 CO2e
(kg CO2e/Einheit)]],"")</f>
        <v/>
      </c>
      <c r="AP59" s="15" t="str">
        <f>IFERROR(Strom[[#This Row],[Wert 
(Zahl)]]*Strom[[#This Row],[EF Scope 1 CO2 biogen
(kg CO2 /Einheit)]],"")</f>
        <v/>
      </c>
      <c r="AQ59" s="15" t="str">
        <f>IFERROR(Strom[[#This Row],[Wert 
(Zahl)]]*Strom[[#This Row],[Scope 2 Emissionsfaktor market-based '[kg CO2e/Einheit']]],"")</f>
        <v/>
      </c>
      <c r="AR59" s="15" t="str">
        <f>IFERROR(Strom[[#This Row],[Vermeidungsfaktor '[kg CO2e/Einheit']]]*Strom[[#This Row],[Wert 
(Zahl)]],"")</f>
        <v/>
      </c>
      <c r="AS59" s="15" t="str">
        <f>IFERROR(Strom[[#This Row],[Wert 
(Zahl)]]*Strom[[#This Row],[EF Scope 1 CO2
(kg CO2/Einheit)]],"")</f>
        <v/>
      </c>
      <c r="AT59" s="15" t="str">
        <f>IFERROR(Strom[[#This Row],[Wert 
(Zahl)]]*Strom[[#This Row],[EF Scope 1 CH4
(kg CH4/Einheit)]],"")</f>
        <v/>
      </c>
      <c r="AU59" s="15" t="str">
        <f>IFERROR(Strom[[#This Row],[Wert 
(Zahl)]]*Strom[[#This Row],[EF Scope 1 N2O
(kg N2O/Einheit)]],"")</f>
        <v/>
      </c>
      <c r="AV59" s="15" t="str">
        <f>IFERROR(Strom[[#This Row],[Wert 
(Zahl)]]*Strom[[#This Row],[EF Scope 1 HFCs
(kg HFCs/Einheit)]],"")</f>
        <v/>
      </c>
      <c r="AW59" s="15" t="str">
        <f>IFERROR(Strom[[#This Row],[Wert 
(Zahl)]]*Strom[[#This Row],[EF Scope 1 PFCs
(kg PFCs/Einheit)]],"")</f>
        <v/>
      </c>
      <c r="AX59" s="15" t="str">
        <f>IFERROR(Strom[[#This Row],[Wert 
(Zahl)]]*Strom[[#This Row],[EF Scope 1 SF6
(kg SF6/Einheit)]],"")</f>
        <v/>
      </c>
      <c r="AY59" s="15" t="str">
        <f>IFERROR(Strom[[#This Row],[Wert 
(Zahl)]]*Strom[[#This Row],[EF Scope 1 NF3
(kg NF3/Einheit)]],"")</f>
        <v/>
      </c>
      <c r="AZ59" s="15" t="str">
        <f>IFERROR(Strom[[#This Row],[Wert 
(Zahl)]]*Strom[[#This Row],[EF Scope 1 Nicht-Kyoto-Gase (kg Nicht-Kyoto-Gase/Einheit)]],"")</f>
        <v/>
      </c>
      <c r="BA59" s="15" t="str">
        <f>IFERROR(Strom[[#This Row],[Wert 
(Zahl)]]*Strom[[#This Row],[EF Scope 2 CO2
(kg CO2/Einheit)]],"")</f>
        <v/>
      </c>
      <c r="BB59" s="15" t="str">
        <f>IFERROR(Strom[[#This Row],[Wert 
(Zahl)]]*Strom[[#This Row],[EF Scope 2 CH4
(kg CH4/Einheit)]],"")</f>
        <v/>
      </c>
      <c r="BC59" s="15" t="str">
        <f>IFERROR(Strom[[#This Row],[Wert 
(Zahl)]]*Strom[[#This Row],[EF Scope 2 N2O
(kg N2O/Einheit)]],"")</f>
        <v/>
      </c>
      <c r="BD59" s="15" t="str">
        <f>IFERROR(Strom[[#This Row],[Wert 
(Zahl)]]*Strom[[#This Row],[EF Scope 2 HFCs
(kg HFCs/Einheit)]],"")</f>
        <v/>
      </c>
      <c r="BE59" s="15" t="str">
        <f>IFERROR(Strom[[#This Row],[Wert 
(Zahl)]]*Strom[[#This Row],[EF Scope 2 PFCs
(kg PFCs/Einheit)]],"")</f>
        <v/>
      </c>
      <c r="BF59" s="15" t="str">
        <f>IFERROR(Strom[[#This Row],[Wert 
(Zahl)]]*Strom[[#This Row],[EF Scope 2 SF6
(kg SF6/Einheit)]],"")</f>
        <v/>
      </c>
      <c r="BG59" s="15" t="str">
        <f>IFERROR(Strom[[#This Row],[Wert 
(Zahl)]]*Strom[[#This Row],[EF Scope 2 NF3
(kg NF3/Einheit)]],"")</f>
        <v/>
      </c>
      <c r="BH59" s="15" t="str">
        <f>IFERROR(Strom[[#This Row],[Wert 
(Zahl)]]*Strom[[#This Row],[EF Scope 2 Nicht-Kyoto-Gase (kg Nicht-Kyoto-Gase/Einheit)]],"")</f>
        <v/>
      </c>
      <c r="BI59" s="15" t="str">
        <f>IF(ISBLANK(Strom[[#This Row],[Wert 
(Zahl)]]),"",IFERROR(Strom[[#This Row],[Scope 1 CO2 '[kg CO2']]]*IFERROR(VLOOKUP("CO2",GWP_100[],3,FALSE),0),0))</f>
        <v/>
      </c>
      <c r="BJ59" s="15" t="str">
        <f>IF(ISBLANK(Strom[[#This Row],[Wert 
(Zahl)]]),"",IFERROR(Strom[[#This Row],[Scope 1 CH4 '[kg CH4']]]*IFERROR(VLOOKUP("CH4",GWP_100[],4,FALSE),0),0))</f>
        <v/>
      </c>
      <c r="BK59" s="15" t="str">
        <f>IF(ISBLANK(Strom[[#This Row],[Wert 
(Zahl)]]),"",IFERROR(Strom[[#This Row],[Scope 1 N2O '[kg N2O']]]*IFERROR(VLOOKUP("N2O",GWP_100[],5,FALSE),0),0))</f>
        <v/>
      </c>
      <c r="BL59" s="15" t="str">
        <f>IF(ISBLANK(Strom[[#This Row],[Wert 
(Zahl)]]),"",IFERROR(Strom[[#This Row],[Scope 1 HFCs '[kg HFCs']]]*IFERROR(VLOOKUP(Strom[[#This Row],[Emissionsquelle/Aktivität (Dropdown)]],GWP_100[],6,FALSE),0),0))</f>
        <v/>
      </c>
      <c r="BM59" s="15" t="str">
        <f>IF(ISBLANK(Strom[[#This Row],[Wert 
(Zahl)]]),"",IFERROR(Strom[[#This Row],[Scope 1 PFCs '[kg PFCs']]]*IFERROR(VLOOKUP(Strom[[#This Row],[Emissionsquelle/Aktivität (Dropdown)]],GWP_100[],7,FALSE),0),0))</f>
        <v/>
      </c>
      <c r="BN59" s="15" t="str">
        <f>IF(ISBLANK(Strom[[#This Row],[Wert 
(Zahl)]]),"",IFERROR(Strom[[#This Row],[Scope 1 SF6 '[kg SF6']]]*IFERROR(VLOOKUP("SF6",GWP_100[],8,FALSE),0),0))</f>
        <v/>
      </c>
      <c r="BO59" s="15" t="str">
        <f>IF(ISBLANK(Strom[[#This Row],[Wert 
(Zahl)]]),"",IFERROR(Strom[[#This Row],[Scope 1 NF3 '[kg NF3']]]*IFERROR(VLOOKUP("NF3",GWP_100[],9,FALSE),0),0))</f>
        <v/>
      </c>
      <c r="BP59" s="15" t="str">
        <f>IF(ISBLANK(Strom[[#This Row],[Wert 
(Zahl)]]),"",IFERROR(Strom[[#This Row],[Scope 1 non-Kyoto '[kg non-Kyoto gas']]]*IFERROR(VLOOKUP(Strom[[#This Row],[Emissionsquelle/Aktivität (Dropdown)]],GWP_100[],10,FALSE),0),0))</f>
        <v/>
      </c>
      <c r="BQ59" s="15" t="str">
        <f>IF(ISBLANK(Strom[[#This Row],[Wert 
(Zahl)]]),"",IFERROR(Strom[[#This Row],[Scope 2 CO2 '[kg CO2']]]*IFERROR(VLOOKUP("CO2",GWP_100[],3,FALSE),0),0))</f>
        <v/>
      </c>
      <c r="BR59" s="15" t="str">
        <f>IF(ISBLANK(Strom[[#This Row],[Wert 
(Zahl)]]),"",IFERROR(Strom[[#This Row],[Scope 2 CH4 '[kg CH4']]]*IFERROR(VLOOKUP("CH4",GWP_100[],4,FALSE),0),0))</f>
        <v/>
      </c>
      <c r="BS59" s="15" t="str">
        <f>IF(ISBLANK(Strom[[#This Row],[Wert 
(Zahl)]]),"",IFERROR(Strom[[#This Row],[Scope 2 N2O '[kg N2O']]]*IFERROR(VLOOKUP("N2O",GWP_100[],5,FALSE),0),0))</f>
        <v/>
      </c>
      <c r="BT59" s="15" t="str">
        <f>IF(ISBLANK(Strom[[#This Row],[Wert 
(Zahl)]]),"",IFERROR(Strom[[#This Row],[Scope 2 HFCs '[kg HFCs']]]*IFERROR(VLOOKUP(Strom[[#This Row],[Emissionsquelle/Aktivität (Dropdown)]],GWP_100[],6,FALSE),0),0))</f>
        <v/>
      </c>
      <c r="BU59" s="15" t="str">
        <f>IF(ISBLANK(Strom[[#This Row],[Wert 
(Zahl)]]),"",IFERROR(Strom[[#This Row],[Scope 2 PFCs '[kg PFCs']]]*IFERROR(VLOOKUP(Strom[[#This Row],[Emissionsquelle/Aktivität (Dropdown)]],GWP_100[],7,FALSE),0),0))</f>
        <v/>
      </c>
      <c r="BV59" s="15" t="str">
        <f>IF(ISBLANK(Strom[[#This Row],[Wert 
(Zahl)]]),"",IFERROR(Strom[[#This Row],[Scope 2 SF6 '[kg SF6']]]*IFERROR(VLOOKUP("SF6",GWP_100[],8,FALSE),0),0))</f>
        <v/>
      </c>
      <c r="BW59" s="15" t="str">
        <f>IF(ISBLANK(Strom[[#This Row],[Wert 
(Zahl)]]),"",IFERROR(Strom[[#This Row],[Scope 2 NF3 '[kg NF3']]]*IFERROR(VLOOKUP("NF3",GWP_100[],9,FALSE),0),0))</f>
        <v/>
      </c>
      <c r="BX59" s="15" t="str">
        <f>IF(ISBLANK(Strom[[#This Row],[Wert 
(Zahl)]]),"",IFERROR(Strom[[#This Row],[Scope 2 non-Kyoto '[kg non-Kyoto gas']]]*IFERROR(VLOOKUP(Strom[[#This Row],[Emissionsquelle/Aktivität (Dropdown)]],GWP_100[],10,FALSE),0),0))</f>
        <v/>
      </c>
    </row>
    <row r="60" spans="2:76" s="89" customFormat="1" x14ac:dyDescent="0.35">
      <c r="B60" s="604"/>
      <c r="C60" s="10" t="str">
        <f t="shared" si="1"/>
        <v>Strom</v>
      </c>
      <c r="D60" s="90"/>
      <c r="E60" s="90"/>
      <c r="F60" s="288"/>
      <c r="G60" s="10" t="str">
        <f>IFERROR(VLOOKUP(Strom[[#This Row],[Thema_Bezeichung]],EFs_Strom[],4,FALSE),"")</f>
        <v/>
      </c>
      <c r="H60" s="90"/>
      <c r="I60" s="90"/>
      <c r="J60" s="90"/>
      <c r="K60" s="90"/>
      <c r="L60" s="289" t="str">
        <f>IF(ISBLANK(Strom[[#This Row],[Wert 
(Zahl)]]),"", SUM(Strom[[#This Row],[Scope 1 CO2e '[kg CO2e']]],Strom[[#This Row],[Scope 2 CO2e '[kg CO2e']]],Strom[[#This Row],[Scope 3 CO2e '[kg CO2e']]]))</f>
        <v/>
      </c>
      <c r="M60" s="289" t="str">
        <f>IF(OR(ISBLANK(Strom[[#This Row],[Wert 
(Zahl)]]),Strom[[#This Row],[Emissionsquelle/Aktivität (Dropdown)]]&lt;&gt;"Strombezug (Deutschland)"),"", SUM(Strom[[#This Row],[Scope 1 CO2e '[kg CO2e']]],Strom[[#This Row],[Scope 2 CO2e market-based '[kg CO2e']]],Strom[[#This Row],[Scope 3 CO2e '[kg CO2e']]]))</f>
        <v/>
      </c>
      <c r="N60" s="158"/>
      <c r="O60" s="15" t="str">
        <f>IF(ISBLANK(Strom[[#This Row],[Emissionsquelle/Aktivität (Dropdown)]]),"",CONCATENATE(Strom[[#This Row],[Sektor_Thema]]," - ",Strom[[#This Row],[Emissionsquelle/Aktivität (Dropdown)]]))</f>
        <v/>
      </c>
      <c r="P60" s="15" t="str">
        <f>IF(ISBLANK(Strom[[#This Row],[Emissionsquelle/Aktivität (Dropdown)]]),"",AND(Strom[[#This Row],[Emissionsquelle/Aktivität (Dropdown)]]="Strombezug (Deutschland)",ISNUMBER(Strom[[#This Row],[Scope-2-Emissionsfaktor Vertragsstrommix
'[g CO2e/kWh']
(falls verfügbar)]])))</f>
        <v/>
      </c>
      <c r="Q60" s="15" t="str">
        <f>IFERROR(VLOOKUP(Strom[[#This Row],[Thema_Bezeichung]],EFs_Strom[],5,FALSE),"")</f>
        <v/>
      </c>
      <c r="R60" s="15" t="str">
        <f>IFERROR(VLOOKUP(Strom[[#This Row],[Thema_Bezeichung]],EFs_Strom[],6,FALSE),"")</f>
        <v/>
      </c>
      <c r="S60" s="15" t="str">
        <f>IFERROR(VLOOKUP(Strom[[#This Row],[Thema_Bezeichung]],EFs_Strom[],7,FALSE),"")</f>
        <v/>
      </c>
      <c r="T60" s="15" t="str">
        <f>IFERROR(VLOOKUP(Strom[[#This Row],[Thema_Bezeichung]],EFs_Strom[],8,FALSE),"")</f>
        <v/>
      </c>
      <c r="U60" s="15" t="str">
        <f>IFERROR(VLOOKUP(Strom[[#This Row],[Thema_Bezeichung]],EFs_Strom[],9,FALSE),"")</f>
        <v/>
      </c>
      <c r="V60" s="15" t="str">
        <f>IFERROR(VLOOKUP(Strom[[#This Row],[Thema_Bezeichung]],EFs_Strom[],10,FALSE),"")</f>
        <v/>
      </c>
      <c r="W60" s="15" t="str">
        <f>IFERROR(VLOOKUP(Strom[[#This Row],[Thema_Bezeichung]],EFs_Strom[],11,FALSE),"")</f>
        <v/>
      </c>
      <c r="X60" s="15" t="str">
        <f>IFERROR(VLOOKUP(Strom[[#This Row],[Thema_Bezeichung]],EFs_Strom[],12,FALSE),"")</f>
        <v/>
      </c>
      <c r="Y60" s="15" t="str">
        <f>IFERROR(VLOOKUP(Strom[[#This Row],[Thema_Bezeichung]],EFs_Strom[],13,FALSE),"")</f>
        <v/>
      </c>
      <c r="Z60" s="15" t="str">
        <f>IFERROR(VLOOKUP(Strom[[#This Row],[Thema_Bezeichung]],EFs_Strom[],14,FALSE),"")</f>
        <v/>
      </c>
      <c r="AA60" s="15" t="str">
        <f>IFERROR(VLOOKUP(Strom[[#This Row],[Thema_Bezeichung]],EFs_Strom[],15,FALSE),"")</f>
        <v/>
      </c>
      <c r="AB60" s="15" t="str">
        <f>IF(Strom[[#This Row],[Vertragsstrommix angegegeben?]]=TRUE,Strom[[#This Row],[Scope-2-Emissionsfaktor Vertragsstrommix
'[g CO2e/kWh']
(falls verfügbar)]]/1000,IFERROR(VLOOKUP(Strom[[#This Row],[Thema_Bezeichung]],EFs_Strom[],15,FALSE),""))</f>
        <v/>
      </c>
      <c r="AC60" s="15" t="str">
        <f>IFERROR(VLOOKUP(Strom[[#This Row],[Thema_Bezeichung]],EFs_Strom[],16,FALSE),"")</f>
        <v/>
      </c>
      <c r="AD60" s="15" t="str">
        <f>IFERROR(VLOOKUP(Strom[[#This Row],[Thema_Bezeichung]],EFs_Strom[],17,FALSE),"")</f>
        <v/>
      </c>
      <c r="AE60" s="15" t="str">
        <f>IFERROR(VLOOKUP(Strom[[#This Row],[Thema_Bezeichung]],EFs_Strom[],18,FALSE),"")</f>
        <v/>
      </c>
      <c r="AF60" s="15" t="str">
        <f>IFERROR(VLOOKUP(Strom[[#This Row],[Thema_Bezeichung]],EFs_Strom[],19,FALSE),"")</f>
        <v/>
      </c>
      <c r="AG60" s="15" t="str">
        <f>IFERROR(VLOOKUP(Strom[[#This Row],[Thema_Bezeichung]],EFs_Strom[],20,FALSE),"")</f>
        <v/>
      </c>
      <c r="AH60" s="15" t="str">
        <f>IFERROR(VLOOKUP(Strom[[#This Row],[Thema_Bezeichung]],EFs_Strom[],21,FALSE),"")</f>
        <v/>
      </c>
      <c r="AI60" s="15" t="str">
        <f>IFERROR(VLOOKUP(Strom[[#This Row],[Thema_Bezeichung]],EFs_Strom[],22,FALSE),"")</f>
        <v/>
      </c>
      <c r="AJ60" s="15" t="str">
        <f>IFERROR(VLOOKUP(Strom[[#This Row],[Thema_Bezeichung]],EFs_Strom[],23,FALSE),"")</f>
        <v/>
      </c>
      <c r="AK60" s="15" t="str">
        <f>IFERROR(VLOOKUP(Strom[[#This Row],[Thema_Bezeichung]],EFs_Strom[],24,FALSE),"")</f>
        <v/>
      </c>
      <c r="AL60" s="15" t="str">
        <f>IFERROR(VLOOKUP(Strom[[#This Row],[Thema_Bezeichung]],EFs_Strom[],30,FALSE),"")</f>
        <v/>
      </c>
      <c r="AM60" s="15" t="str">
        <f>IFERROR(Strom[[#This Row],[Wert 
(Zahl)]]*Strom[[#This Row],[EF Scope 1 CO2e
(kg CO2e/Einheit)]],"")</f>
        <v/>
      </c>
      <c r="AN60" s="15" t="str">
        <f>IFERROR(Strom[[#This Row],[Wert 
(Zahl)]]*Strom[[#This Row],[EF Scope 2 CO2e
(kg CO2e/Einheit)]],"")</f>
        <v/>
      </c>
      <c r="AO60" s="15" t="str">
        <f>IFERROR(Strom[[#This Row],[Wert 
(Zahl)]]*Strom[[#This Row],[EF Scope 3 CO2e
(kg CO2e/Einheit)]],"")</f>
        <v/>
      </c>
      <c r="AP60" s="15" t="str">
        <f>IFERROR(Strom[[#This Row],[Wert 
(Zahl)]]*Strom[[#This Row],[EF Scope 1 CO2 biogen
(kg CO2 /Einheit)]],"")</f>
        <v/>
      </c>
      <c r="AQ60" s="15" t="str">
        <f>IFERROR(Strom[[#This Row],[Wert 
(Zahl)]]*Strom[[#This Row],[Scope 2 Emissionsfaktor market-based '[kg CO2e/Einheit']]],"")</f>
        <v/>
      </c>
      <c r="AR60" s="15" t="str">
        <f>IFERROR(Strom[[#This Row],[Vermeidungsfaktor '[kg CO2e/Einheit']]]*Strom[[#This Row],[Wert 
(Zahl)]],"")</f>
        <v/>
      </c>
      <c r="AS60" s="15" t="str">
        <f>IFERROR(Strom[[#This Row],[Wert 
(Zahl)]]*Strom[[#This Row],[EF Scope 1 CO2
(kg CO2/Einheit)]],"")</f>
        <v/>
      </c>
      <c r="AT60" s="15" t="str">
        <f>IFERROR(Strom[[#This Row],[Wert 
(Zahl)]]*Strom[[#This Row],[EF Scope 1 CH4
(kg CH4/Einheit)]],"")</f>
        <v/>
      </c>
      <c r="AU60" s="15" t="str">
        <f>IFERROR(Strom[[#This Row],[Wert 
(Zahl)]]*Strom[[#This Row],[EF Scope 1 N2O
(kg N2O/Einheit)]],"")</f>
        <v/>
      </c>
      <c r="AV60" s="15" t="str">
        <f>IFERROR(Strom[[#This Row],[Wert 
(Zahl)]]*Strom[[#This Row],[EF Scope 1 HFCs
(kg HFCs/Einheit)]],"")</f>
        <v/>
      </c>
      <c r="AW60" s="15" t="str">
        <f>IFERROR(Strom[[#This Row],[Wert 
(Zahl)]]*Strom[[#This Row],[EF Scope 1 PFCs
(kg PFCs/Einheit)]],"")</f>
        <v/>
      </c>
      <c r="AX60" s="15" t="str">
        <f>IFERROR(Strom[[#This Row],[Wert 
(Zahl)]]*Strom[[#This Row],[EF Scope 1 SF6
(kg SF6/Einheit)]],"")</f>
        <v/>
      </c>
      <c r="AY60" s="15" t="str">
        <f>IFERROR(Strom[[#This Row],[Wert 
(Zahl)]]*Strom[[#This Row],[EF Scope 1 NF3
(kg NF3/Einheit)]],"")</f>
        <v/>
      </c>
      <c r="AZ60" s="15" t="str">
        <f>IFERROR(Strom[[#This Row],[Wert 
(Zahl)]]*Strom[[#This Row],[EF Scope 1 Nicht-Kyoto-Gase (kg Nicht-Kyoto-Gase/Einheit)]],"")</f>
        <v/>
      </c>
      <c r="BA60" s="15" t="str">
        <f>IFERROR(Strom[[#This Row],[Wert 
(Zahl)]]*Strom[[#This Row],[EF Scope 2 CO2
(kg CO2/Einheit)]],"")</f>
        <v/>
      </c>
      <c r="BB60" s="15" t="str">
        <f>IFERROR(Strom[[#This Row],[Wert 
(Zahl)]]*Strom[[#This Row],[EF Scope 2 CH4
(kg CH4/Einheit)]],"")</f>
        <v/>
      </c>
      <c r="BC60" s="15" t="str">
        <f>IFERROR(Strom[[#This Row],[Wert 
(Zahl)]]*Strom[[#This Row],[EF Scope 2 N2O
(kg N2O/Einheit)]],"")</f>
        <v/>
      </c>
      <c r="BD60" s="15" t="str">
        <f>IFERROR(Strom[[#This Row],[Wert 
(Zahl)]]*Strom[[#This Row],[EF Scope 2 HFCs
(kg HFCs/Einheit)]],"")</f>
        <v/>
      </c>
      <c r="BE60" s="15" t="str">
        <f>IFERROR(Strom[[#This Row],[Wert 
(Zahl)]]*Strom[[#This Row],[EF Scope 2 PFCs
(kg PFCs/Einheit)]],"")</f>
        <v/>
      </c>
      <c r="BF60" s="15" t="str">
        <f>IFERROR(Strom[[#This Row],[Wert 
(Zahl)]]*Strom[[#This Row],[EF Scope 2 SF6
(kg SF6/Einheit)]],"")</f>
        <v/>
      </c>
      <c r="BG60" s="15" t="str">
        <f>IFERROR(Strom[[#This Row],[Wert 
(Zahl)]]*Strom[[#This Row],[EF Scope 2 NF3
(kg NF3/Einheit)]],"")</f>
        <v/>
      </c>
      <c r="BH60" s="15" t="str">
        <f>IFERROR(Strom[[#This Row],[Wert 
(Zahl)]]*Strom[[#This Row],[EF Scope 2 Nicht-Kyoto-Gase (kg Nicht-Kyoto-Gase/Einheit)]],"")</f>
        <v/>
      </c>
      <c r="BI60" s="15" t="str">
        <f>IF(ISBLANK(Strom[[#This Row],[Wert 
(Zahl)]]),"",IFERROR(Strom[[#This Row],[Scope 1 CO2 '[kg CO2']]]*IFERROR(VLOOKUP("CO2",GWP_100[],3,FALSE),0),0))</f>
        <v/>
      </c>
      <c r="BJ60" s="15" t="str">
        <f>IF(ISBLANK(Strom[[#This Row],[Wert 
(Zahl)]]),"",IFERROR(Strom[[#This Row],[Scope 1 CH4 '[kg CH4']]]*IFERROR(VLOOKUP("CH4",GWP_100[],4,FALSE),0),0))</f>
        <v/>
      </c>
      <c r="BK60" s="15" t="str">
        <f>IF(ISBLANK(Strom[[#This Row],[Wert 
(Zahl)]]),"",IFERROR(Strom[[#This Row],[Scope 1 N2O '[kg N2O']]]*IFERROR(VLOOKUP("N2O",GWP_100[],5,FALSE),0),0))</f>
        <v/>
      </c>
      <c r="BL60" s="15" t="str">
        <f>IF(ISBLANK(Strom[[#This Row],[Wert 
(Zahl)]]),"",IFERROR(Strom[[#This Row],[Scope 1 HFCs '[kg HFCs']]]*IFERROR(VLOOKUP(Strom[[#This Row],[Emissionsquelle/Aktivität (Dropdown)]],GWP_100[],6,FALSE),0),0))</f>
        <v/>
      </c>
      <c r="BM60" s="15" t="str">
        <f>IF(ISBLANK(Strom[[#This Row],[Wert 
(Zahl)]]),"",IFERROR(Strom[[#This Row],[Scope 1 PFCs '[kg PFCs']]]*IFERROR(VLOOKUP(Strom[[#This Row],[Emissionsquelle/Aktivität (Dropdown)]],GWP_100[],7,FALSE),0),0))</f>
        <v/>
      </c>
      <c r="BN60" s="15" t="str">
        <f>IF(ISBLANK(Strom[[#This Row],[Wert 
(Zahl)]]),"",IFERROR(Strom[[#This Row],[Scope 1 SF6 '[kg SF6']]]*IFERROR(VLOOKUP("SF6",GWP_100[],8,FALSE),0),0))</f>
        <v/>
      </c>
      <c r="BO60" s="15" t="str">
        <f>IF(ISBLANK(Strom[[#This Row],[Wert 
(Zahl)]]),"",IFERROR(Strom[[#This Row],[Scope 1 NF3 '[kg NF3']]]*IFERROR(VLOOKUP("NF3",GWP_100[],9,FALSE),0),0))</f>
        <v/>
      </c>
      <c r="BP60" s="15" t="str">
        <f>IF(ISBLANK(Strom[[#This Row],[Wert 
(Zahl)]]),"",IFERROR(Strom[[#This Row],[Scope 1 non-Kyoto '[kg non-Kyoto gas']]]*IFERROR(VLOOKUP(Strom[[#This Row],[Emissionsquelle/Aktivität (Dropdown)]],GWP_100[],10,FALSE),0),0))</f>
        <v/>
      </c>
      <c r="BQ60" s="15" t="str">
        <f>IF(ISBLANK(Strom[[#This Row],[Wert 
(Zahl)]]),"",IFERROR(Strom[[#This Row],[Scope 2 CO2 '[kg CO2']]]*IFERROR(VLOOKUP("CO2",GWP_100[],3,FALSE),0),0))</f>
        <v/>
      </c>
      <c r="BR60" s="15" t="str">
        <f>IF(ISBLANK(Strom[[#This Row],[Wert 
(Zahl)]]),"",IFERROR(Strom[[#This Row],[Scope 2 CH4 '[kg CH4']]]*IFERROR(VLOOKUP("CH4",GWP_100[],4,FALSE),0),0))</f>
        <v/>
      </c>
      <c r="BS60" s="15" t="str">
        <f>IF(ISBLANK(Strom[[#This Row],[Wert 
(Zahl)]]),"",IFERROR(Strom[[#This Row],[Scope 2 N2O '[kg N2O']]]*IFERROR(VLOOKUP("N2O",GWP_100[],5,FALSE),0),0))</f>
        <v/>
      </c>
      <c r="BT60" s="15" t="str">
        <f>IF(ISBLANK(Strom[[#This Row],[Wert 
(Zahl)]]),"",IFERROR(Strom[[#This Row],[Scope 2 HFCs '[kg HFCs']]]*IFERROR(VLOOKUP(Strom[[#This Row],[Emissionsquelle/Aktivität (Dropdown)]],GWP_100[],6,FALSE),0),0))</f>
        <v/>
      </c>
      <c r="BU60" s="15" t="str">
        <f>IF(ISBLANK(Strom[[#This Row],[Wert 
(Zahl)]]),"",IFERROR(Strom[[#This Row],[Scope 2 PFCs '[kg PFCs']]]*IFERROR(VLOOKUP(Strom[[#This Row],[Emissionsquelle/Aktivität (Dropdown)]],GWP_100[],7,FALSE),0),0))</f>
        <v/>
      </c>
      <c r="BV60" s="15" t="str">
        <f>IF(ISBLANK(Strom[[#This Row],[Wert 
(Zahl)]]),"",IFERROR(Strom[[#This Row],[Scope 2 SF6 '[kg SF6']]]*IFERROR(VLOOKUP("SF6",GWP_100[],8,FALSE),0),0))</f>
        <v/>
      </c>
      <c r="BW60" s="15" t="str">
        <f>IF(ISBLANK(Strom[[#This Row],[Wert 
(Zahl)]]),"",IFERROR(Strom[[#This Row],[Scope 2 NF3 '[kg NF3']]]*IFERROR(VLOOKUP("NF3",GWP_100[],9,FALSE),0),0))</f>
        <v/>
      </c>
      <c r="BX60" s="15" t="str">
        <f>IF(ISBLANK(Strom[[#This Row],[Wert 
(Zahl)]]),"",IFERROR(Strom[[#This Row],[Scope 2 non-Kyoto '[kg non-Kyoto gas']]]*IFERROR(VLOOKUP(Strom[[#This Row],[Emissionsquelle/Aktivität (Dropdown)]],GWP_100[],10,FALSE),0),0))</f>
        <v/>
      </c>
    </row>
    <row r="61" spans="2:76" s="89" customFormat="1" x14ac:dyDescent="0.35">
      <c r="B61" s="604"/>
      <c r="C61" s="10" t="str">
        <f t="shared" si="1"/>
        <v>Strom</v>
      </c>
      <c r="D61" s="90"/>
      <c r="E61" s="90"/>
      <c r="F61" s="288"/>
      <c r="G61" s="10" t="str">
        <f>IFERROR(VLOOKUP(Strom[[#This Row],[Thema_Bezeichung]],EFs_Strom[],4,FALSE),"")</f>
        <v/>
      </c>
      <c r="H61" s="90"/>
      <c r="I61" s="90"/>
      <c r="J61" s="90"/>
      <c r="K61" s="90"/>
      <c r="L61" s="289" t="str">
        <f>IF(ISBLANK(Strom[[#This Row],[Wert 
(Zahl)]]),"", SUM(Strom[[#This Row],[Scope 1 CO2e '[kg CO2e']]],Strom[[#This Row],[Scope 2 CO2e '[kg CO2e']]],Strom[[#This Row],[Scope 3 CO2e '[kg CO2e']]]))</f>
        <v/>
      </c>
      <c r="M61" s="289" t="str">
        <f>IF(OR(ISBLANK(Strom[[#This Row],[Wert 
(Zahl)]]),Strom[[#This Row],[Emissionsquelle/Aktivität (Dropdown)]]&lt;&gt;"Strombezug (Deutschland)"),"", SUM(Strom[[#This Row],[Scope 1 CO2e '[kg CO2e']]],Strom[[#This Row],[Scope 2 CO2e market-based '[kg CO2e']]],Strom[[#This Row],[Scope 3 CO2e '[kg CO2e']]]))</f>
        <v/>
      </c>
      <c r="N61" s="158"/>
      <c r="O61" s="15" t="str">
        <f>IF(ISBLANK(Strom[[#This Row],[Emissionsquelle/Aktivität (Dropdown)]]),"",CONCATENATE(Strom[[#This Row],[Sektor_Thema]]," - ",Strom[[#This Row],[Emissionsquelle/Aktivität (Dropdown)]]))</f>
        <v/>
      </c>
      <c r="P61" s="15" t="str">
        <f>IF(ISBLANK(Strom[[#This Row],[Emissionsquelle/Aktivität (Dropdown)]]),"",AND(Strom[[#This Row],[Emissionsquelle/Aktivität (Dropdown)]]="Strombezug (Deutschland)",ISNUMBER(Strom[[#This Row],[Scope-2-Emissionsfaktor Vertragsstrommix
'[g CO2e/kWh']
(falls verfügbar)]])))</f>
        <v/>
      </c>
      <c r="Q61" s="15" t="str">
        <f>IFERROR(VLOOKUP(Strom[[#This Row],[Thema_Bezeichung]],EFs_Strom[],5,FALSE),"")</f>
        <v/>
      </c>
      <c r="R61" s="15" t="str">
        <f>IFERROR(VLOOKUP(Strom[[#This Row],[Thema_Bezeichung]],EFs_Strom[],6,FALSE),"")</f>
        <v/>
      </c>
      <c r="S61" s="15" t="str">
        <f>IFERROR(VLOOKUP(Strom[[#This Row],[Thema_Bezeichung]],EFs_Strom[],7,FALSE),"")</f>
        <v/>
      </c>
      <c r="T61" s="15" t="str">
        <f>IFERROR(VLOOKUP(Strom[[#This Row],[Thema_Bezeichung]],EFs_Strom[],8,FALSE),"")</f>
        <v/>
      </c>
      <c r="U61" s="15" t="str">
        <f>IFERROR(VLOOKUP(Strom[[#This Row],[Thema_Bezeichung]],EFs_Strom[],9,FALSE),"")</f>
        <v/>
      </c>
      <c r="V61" s="15" t="str">
        <f>IFERROR(VLOOKUP(Strom[[#This Row],[Thema_Bezeichung]],EFs_Strom[],10,FALSE),"")</f>
        <v/>
      </c>
      <c r="W61" s="15" t="str">
        <f>IFERROR(VLOOKUP(Strom[[#This Row],[Thema_Bezeichung]],EFs_Strom[],11,FALSE),"")</f>
        <v/>
      </c>
      <c r="X61" s="15" t="str">
        <f>IFERROR(VLOOKUP(Strom[[#This Row],[Thema_Bezeichung]],EFs_Strom[],12,FALSE),"")</f>
        <v/>
      </c>
      <c r="Y61" s="15" t="str">
        <f>IFERROR(VLOOKUP(Strom[[#This Row],[Thema_Bezeichung]],EFs_Strom[],13,FALSE),"")</f>
        <v/>
      </c>
      <c r="Z61" s="15" t="str">
        <f>IFERROR(VLOOKUP(Strom[[#This Row],[Thema_Bezeichung]],EFs_Strom[],14,FALSE),"")</f>
        <v/>
      </c>
      <c r="AA61" s="15" t="str">
        <f>IFERROR(VLOOKUP(Strom[[#This Row],[Thema_Bezeichung]],EFs_Strom[],15,FALSE),"")</f>
        <v/>
      </c>
      <c r="AB61" s="15" t="str">
        <f>IF(Strom[[#This Row],[Vertragsstrommix angegegeben?]]=TRUE,Strom[[#This Row],[Scope-2-Emissionsfaktor Vertragsstrommix
'[g CO2e/kWh']
(falls verfügbar)]]/1000,IFERROR(VLOOKUP(Strom[[#This Row],[Thema_Bezeichung]],EFs_Strom[],15,FALSE),""))</f>
        <v/>
      </c>
      <c r="AC61" s="15" t="str">
        <f>IFERROR(VLOOKUP(Strom[[#This Row],[Thema_Bezeichung]],EFs_Strom[],16,FALSE),"")</f>
        <v/>
      </c>
      <c r="AD61" s="15" t="str">
        <f>IFERROR(VLOOKUP(Strom[[#This Row],[Thema_Bezeichung]],EFs_Strom[],17,FALSE),"")</f>
        <v/>
      </c>
      <c r="AE61" s="15" t="str">
        <f>IFERROR(VLOOKUP(Strom[[#This Row],[Thema_Bezeichung]],EFs_Strom[],18,FALSE),"")</f>
        <v/>
      </c>
      <c r="AF61" s="15" t="str">
        <f>IFERROR(VLOOKUP(Strom[[#This Row],[Thema_Bezeichung]],EFs_Strom[],19,FALSE),"")</f>
        <v/>
      </c>
      <c r="AG61" s="15" t="str">
        <f>IFERROR(VLOOKUP(Strom[[#This Row],[Thema_Bezeichung]],EFs_Strom[],20,FALSE),"")</f>
        <v/>
      </c>
      <c r="AH61" s="15" t="str">
        <f>IFERROR(VLOOKUP(Strom[[#This Row],[Thema_Bezeichung]],EFs_Strom[],21,FALSE),"")</f>
        <v/>
      </c>
      <c r="AI61" s="15" t="str">
        <f>IFERROR(VLOOKUP(Strom[[#This Row],[Thema_Bezeichung]],EFs_Strom[],22,FALSE),"")</f>
        <v/>
      </c>
      <c r="AJ61" s="15" t="str">
        <f>IFERROR(VLOOKUP(Strom[[#This Row],[Thema_Bezeichung]],EFs_Strom[],23,FALSE),"")</f>
        <v/>
      </c>
      <c r="AK61" s="15" t="str">
        <f>IFERROR(VLOOKUP(Strom[[#This Row],[Thema_Bezeichung]],EFs_Strom[],24,FALSE),"")</f>
        <v/>
      </c>
      <c r="AL61" s="15" t="str">
        <f>IFERROR(VLOOKUP(Strom[[#This Row],[Thema_Bezeichung]],EFs_Strom[],30,FALSE),"")</f>
        <v/>
      </c>
      <c r="AM61" s="15" t="str">
        <f>IFERROR(Strom[[#This Row],[Wert 
(Zahl)]]*Strom[[#This Row],[EF Scope 1 CO2e
(kg CO2e/Einheit)]],"")</f>
        <v/>
      </c>
      <c r="AN61" s="15" t="str">
        <f>IFERROR(Strom[[#This Row],[Wert 
(Zahl)]]*Strom[[#This Row],[EF Scope 2 CO2e
(kg CO2e/Einheit)]],"")</f>
        <v/>
      </c>
      <c r="AO61" s="15" t="str">
        <f>IFERROR(Strom[[#This Row],[Wert 
(Zahl)]]*Strom[[#This Row],[EF Scope 3 CO2e
(kg CO2e/Einheit)]],"")</f>
        <v/>
      </c>
      <c r="AP61" s="15" t="str">
        <f>IFERROR(Strom[[#This Row],[Wert 
(Zahl)]]*Strom[[#This Row],[EF Scope 1 CO2 biogen
(kg CO2 /Einheit)]],"")</f>
        <v/>
      </c>
      <c r="AQ61" s="15" t="str">
        <f>IFERROR(Strom[[#This Row],[Wert 
(Zahl)]]*Strom[[#This Row],[Scope 2 Emissionsfaktor market-based '[kg CO2e/Einheit']]],"")</f>
        <v/>
      </c>
      <c r="AR61" s="15" t="str">
        <f>IFERROR(Strom[[#This Row],[Vermeidungsfaktor '[kg CO2e/Einheit']]]*Strom[[#This Row],[Wert 
(Zahl)]],"")</f>
        <v/>
      </c>
      <c r="AS61" s="15" t="str">
        <f>IFERROR(Strom[[#This Row],[Wert 
(Zahl)]]*Strom[[#This Row],[EF Scope 1 CO2
(kg CO2/Einheit)]],"")</f>
        <v/>
      </c>
      <c r="AT61" s="15" t="str">
        <f>IFERROR(Strom[[#This Row],[Wert 
(Zahl)]]*Strom[[#This Row],[EF Scope 1 CH4
(kg CH4/Einheit)]],"")</f>
        <v/>
      </c>
      <c r="AU61" s="15" t="str">
        <f>IFERROR(Strom[[#This Row],[Wert 
(Zahl)]]*Strom[[#This Row],[EF Scope 1 N2O
(kg N2O/Einheit)]],"")</f>
        <v/>
      </c>
      <c r="AV61" s="15" t="str">
        <f>IFERROR(Strom[[#This Row],[Wert 
(Zahl)]]*Strom[[#This Row],[EF Scope 1 HFCs
(kg HFCs/Einheit)]],"")</f>
        <v/>
      </c>
      <c r="AW61" s="15" t="str">
        <f>IFERROR(Strom[[#This Row],[Wert 
(Zahl)]]*Strom[[#This Row],[EF Scope 1 PFCs
(kg PFCs/Einheit)]],"")</f>
        <v/>
      </c>
      <c r="AX61" s="15" t="str">
        <f>IFERROR(Strom[[#This Row],[Wert 
(Zahl)]]*Strom[[#This Row],[EF Scope 1 SF6
(kg SF6/Einheit)]],"")</f>
        <v/>
      </c>
      <c r="AY61" s="15" t="str">
        <f>IFERROR(Strom[[#This Row],[Wert 
(Zahl)]]*Strom[[#This Row],[EF Scope 1 NF3
(kg NF3/Einheit)]],"")</f>
        <v/>
      </c>
      <c r="AZ61" s="15" t="str">
        <f>IFERROR(Strom[[#This Row],[Wert 
(Zahl)]]*Strom[[#This Row],[EF Scope 1 Nicht-Kyoto-Gase (kg Nicht-Kyoto-Gase/Einheit)]],"")</f>
        <v/>
      </c>
      <c r="BA61" s="15" t="str">
        <f>IFERROR(Strom[[#This Row],[Wert 
(Zahl)]]*Strom[[#This Row],[EF Scope 2 CO2
(kg CO2/Einheit)]],"")</f>
        <v/>
      </c>
      <c r="BB61" s="15" t="str">
        <f>IFERROR(Strom[[#This Row],[Wert 
(Zahl)]]*Strom[[#This Row],[EF Scope 2 CH4
(kg CH4/Einheit)]],"")</f>
        <v/>
      </c>
      <c r="BC61" s="15" t="str">
        <f>IFERROR(Strom[[#This Row],[Wert 
(Zahl)]]*Strom[[#This Row],[EF Scope 2 N2O
(kg N2O/Einheit)]],"")</f>
        <v/>
      </c>
      <c r="BD61" s="15" t="str">
        <f>IFERROR(Strom[[#This Row],[Wert 
(Zahl)]]*Strom[[#This Row],[EF Scope 2 HFCs
(kg HFCs/Einheit)]],"")</f>
        <v/>
      </c>
      <c r="BE61" s="15" t="str">
        <f>IFERROR(Strom[[#This Row],[Wert 
(Zahl)]]*Strom[[#This Row],[EF Scope 2 PFCs
(kg PFCs/Einheit)]],"")</f>
        <v/>
      </c>
      <c r="BF61" s="15" t="str">
        <f>IFERROR(Strom[[#This Row],[Wert 
(Zahl)]]*Strom[[#This Row],[EF Scope 2 SF6
(kg SF6/Einheit)]],"")</f>
        <v/>
      </c>
      <c r="BG61" s="15" t="str">
        <f>IFERROR(Strom[[#This Row],[Wert 
(Zahl)]]*Strom[[#This Row],[EF Scope 2 NF3
(kg NF3/Einheit)]],"")</f>
        <v/>
      </c>
      <c r="BH61" s="15" t="str">
        <f>IFERROR(Strom[[#This Row],[Wert 
(Zahl)]]*Strom[[#This Row],[EF Scope 2 Nicht-Kyoto-Gase (kg Nicht-Kyoto-Gase/Einheit)]],"")</f>
        <v/>
      </c>
      <c r="BI61" s="15" t="str">
        <f>IF(ISBLANK(Strom[[#This Row],[Wert 
(Zahl)]]),"",IFERROR(Strom[[#This Row],[Scope 1 CO2 '[kg CO2']]]*IFERROR(VLOOKUP("CO2",GWP_100[],3,FALSE),0),0))</f>
        <v/>
      </c>
      <c r="BJ61" s="15" t="str">
        <f>IF(ISBLANK(Strom[[#This Row],[Wert 
(Zahl)]]),"",IFERROR(Strom[[#This Row],[Scope 1 CH4 '[kg CH4']]]*IFERROR(VLOOKUP("CH4",GWP_100[],4,FALSE),0),0))</f>
        <v/>
      </c>
      <c r="BK61" s="15" t="str">
        <f>IF(ISBLANK(Strom[[#This Row],[Wert 
(Zahl)]]),"",IFERROR(Strom[[#This Row],[Scope 1 N2O '[kg N2O']]]*IFERROR(VLOOKUP("N2O",GWP_100[],5,FALSE),0),0))</f>
        <v/>
      </c>
      <c r="BL61" s="15" t="str">
        <f>IF(ISBLANK(Strom[[#This Row],[Wert 
(Zahl)]]),"",IFERROR(Strom[[#This Row],[Scope 1 HFCs '[kg HFCs']]]*IFERROR(VLOOKUP(Strom[[#This Row],[Emissionsquelle/Aktivität (Dropdown)]],GWP_100[],6,FALSE),0),0))</f>
        <v/>
      </c>
      <c r="BM61" s="15" t="str">
        <f>IF(ISBLANK(Strom[[#This Row],[Wert 
(Zahl)]]),"",IFERROR(Strom[[#This Row],[Scope 1 PFCs '[kg PFCs']]]*IFERROR(VLOOKUP(Strom[[#This Row],[Emissionsquelle/Aktivität (Dropdown)]],GWP_100[],7,FALSE),0),0))</f>
        <v/>
      </c>
      <c r="BN61" s="15" t="str">
        <f>IF(ISBLANK(Strom[[#This Row],[Wert 
(Zahl)]]),"",IFERROR(Strom[[#This Row],[Scope 1 SF6 '[kg SF6']]]*IFERROR(VLOOKUP("SF6",GWP_100[],8,FALSE),0),0))</f>
        <v/>
      </c>
      <c r="BO61" s="15" t="str">
        <f>IF(ISBLANK(Strom[[#This Row],[Wert 
(Zahl)]]),"",IFERROR(Strom[[#This Row],[Scope 1 NF3 '[kg NF3']]]*IFERROR(VLOOKUP("NF3",GWP_100[],9,FALSE),0),0))</f>
        <v/>
      </c>
      <c r="BP61" s="15" t="str">
        <f>IF(ISBLANK(Strom[[#This Row],[Wert 
(Zahl)]]),"",IFERROR(Strom[[#This Row],[Scope 1 non-Kyoto '[kg non-Kyoto gas']]]*IFERROR(VLOOKUP(Strom[[#This Row],[Emissionsquelle/Aktivität (Dropdown)]],GWP_100[],10,FALSE),0),0))</f>
        <v/>
      </c>
      <c r="BQ61" s="15" t="str">
        <f>IF(ISBLANK(Strom[[#This Row],[Wert 
(Zahl)]]),"",IFERROR(Strom[[#This Row],[Scope 2 CO2 '[kg CO2']]]*IFERROR(VLOOKUP("CO2",GWP_100[],3,FALSE),0),0))</f>
        <v/>
      </c>
      <c r="BR61" s="15" t="str">
        <f>IF(ISBLANK(Strom[[#This Row],[Wert 
(Zahl)]]),"",IFERROR(Strom[[#This Row],[Scope 2 CH4 '[kg CH4']]]*IFERROR(VLOOKUP("CH4",GWP_100[],4,FALSE),0),0))</f>
        <v/>
      </c>
      <c r="BS61" s="15" t="str">
        <f>IF(ISBLANK(Strom[[#This Row],[Wert 
(Zahl)]]),"",IFERROR(Strom[[#This Row],[Scope 2 N2O '[kg N2O']]]*IFERROR(VLOOKUP("N2O",GWP_100[],5,FALSE),0),0))</f>
        <v/>
      </c>
      <c r="BT61" s="15" t="str">
        <f>IF(ISBLANK(Strom[[#This Row],[Wert 
(Zahl)]]),"",IFERROR(Strom[[#This Row],[Scope 2 HFCs '[kg HFCs']]]*IFERROR(VLOOKUP(Strom[[#This Row],[Emissionsquelle/Aktivität (Dropdown)]],GWP_100[],6,FALSE),0),0))</f>
        <v/>
      </c>
      <c r="BU61" s="15" t="str">
        <f>IF(ISBLANK(Strom[[#This Row],[Wert 
(Zahl)]]),"",IFERROR(Strom[[#This Row],[Scope 2 PFCs '[kg PFCs']]]*IFERROR(VLOOKUP(Strom[[#This Row],[Emissionsquelle/Aktivität (Dropdown)]],GWP_100[],7,FALSE),0),0))</f>
        <v/>
      </c>
      <c r="BV61" s="15" t="str">
        <f>IF(ISBLANK(Strom[[#This Row],[Wert 
(Zahl)]]),"",IFERROR(Strom[[#This Row],[Scope 2 SF6 '[kg SF6']]]*IFERROR(VLOOKUP("SF6",GWP_100[],8,FALSE),0),0))</f>
        <v/>
      </c>
      <c r="BW61" s="15" t="str">
        <f>IF(ISBLANK(Strom[[#This Row],[Wert 
(Zahl)]]),"",IFERROR(Strom[[#This Row],[Scope 2 NF3 '[kg NF3']]]*IFERROR(VLOOKUP("NF3",GWP_100[],9,FALSE),0),0))</f>
        <v/>
      </c>
      <c r="BX61" s="15" t="str">
        <f>IF(ISBLANK(Strom[[#This Row],[Wert 
(Zahl)]]),"",IFERROR(Strom[[#This Row],[Scope 2 non-Kyoto '[kg non-Kyoto gas']]]*IFERROR(VLOOKUP(Strom[[#This Row],[Emissionsquelle/Aktivität (Dropdown)]],GWP_100[],10,FALSE),0),0))</f>
        <v/>
      </c>
    </row>
    <row r="62" spans="2:76" s="89" customFormat="1" x14ac:dyDescent="0.35">
      <c r="B62" s="604"/>
      <c r="C62" s="10" t="str">
        <f t="shared" si="1"/>
        <v>Strom</v>
      </c>
      <c r="D62" s="90"/>
      <c r="E62" s="90"/>
      <c r="F62" s="288"/>
      <c r="G62" s="10" t="str">
        <f>IFERROR(VLOOKUP(Strom[[#This Row],[Thema_Bezeichung]],EFs_Strom[],4,FALSE),"")</f>
        <v/>
      </c>
      <c r="H62" s="90"/>
      <c r="I62" s="90"/>
      <c r="J62" s="90"/>
      <c r="K62" s="90"/>
      <c r="L62" s="289" t="str">
        <f>IF(ISBLANK(Strom[[#This Row],[Wert 
(Zahl)]]),"", SUM(Strom[[#This Row],[Scope 1 CO2e '[kg CO2e']]],Strom[[#This Row],[Scope 2 CO2e '[kg CO2e']]],Strom[[#This Row],[Scope 3 CO2e '[kg CO2e']]]))</f>
        <v/>
      </c>
      <c r="M62" s="289" t="str">
        <f>IF(OR(ISBLANK(Strom[[#This Row],[Wert 
(Zahl)]]),Strom[[#This Row],[Emissionsquelle/Aktivität (Dropdown)]]&lt;&gt;"Strombezug (Deutschland)"),"", SUM(Strom[[#This Row],[Scope 1 CO2e '[kg CO2e']]],Strom[[#This Row],[Scope 2 CO2e market-based '[kg CO2e']]],Strom[[#This Row],[Scope 3 CO2e '[kg CO2e']]]))</f>
        <v/>
      </c>
      <c r="N62" s="158"/>
      <c r="O62" s="15" t="str">
        <f>IF(ISBLANK(Strom[[#This Row],[Emissionsquelle/Aktivität (Dropdown)]]),"",CONCATENATE(Strom[[#This Row],[Sektor_Thema]]," - ",Strom[[#This Row],[Emissionsquelle/Aktivität (Dropdown)]]))</f>
        <v/>
      </c>
      <c r="P62" s="15" t="str">
        <f>IF(ISBLANK(Strom[[#This Row],[Emissionsquelle/Aktivität (Dropdown)]]),"",AND(Strom[[#This Row],[Emissionsquelle/Aktivität (Dropdown)]]="Strombezug (Deutschland)",ISNUMBER(Strom[[#This Row],[Scope-2-Emissionsfaktor Vertragsstrommix
'[g CO2e/kWh']
(falls verfügbar)]])))</f>
        <v/>
      </c>
      <c r="Q62" s="15" t="str">
        <f>IFERROR(VLOOKUP(Strom[[#This Row],[Thema_Bezeichung]],EFs_Strom[],5,FALSE),"")</f>
        <v/>
      </c>
      <c r="R62" s="15" t="str">
        <f>IFERROR(VLOOKUP(Strom[[#This Row],[Thema_Bezeichung]],EFs_Strom[],6,FALSE),"")</f>
        <v/>
      </c>
      <c r="S62" s="15" t="str">
        <f>IFERROR(VLOOKUP(Strom[[#This Row],[Thema_Bezeichung]],EFs_Strom[],7,FALSE),"")</f>
        <v/>
      </c>
      <c r="T62" s="15" t="str">
        <f>IFERROR(VLOOKUP(Strom[[#This Row],[Thema_Bezeichung]],EFs_Strom[],8,FALSE),"")</f>
        <v/>
      </c>
      <c r="U62" s="15" t="str">
        <f>IFERROR(VLOOKUP(Strom[[#This Row],[Thema_Bezeichung]],EFs_Strom[],9,FALSE),"")</f>
        <v/>
      </c>
      <c r="V62" s="15" t="str">
        <f>IFERROR(VLOOKUP(Strom[[#This Row],[Thema_Bezeichung]],EFs_Strom[],10,FALSE),"")</f>
        <v/>
      </c>
      <c r="W62" s="15" t="str">
        <f>IFERROR(VLOOKUP(Strom[[#This Row],[Thema_Bezeichung]],EFs_Strom[],11,FALSE),"")</f>
        <v/>
      </c>
      <c r="X62" s="15" t="str">
        <f>IFERROR(VLOOKUP(Strom[[#This Row],[Thema_Bezeichung]],EFs_Strom[],12,FALSE),"")</f>
        <v/>
      </c>
      <c r="Y62" s="15" t="str">
        <f>IFERROR(VLOOKUP(Strom[[#This Row],[Thema_Bezeichung]],EFs_Strom[],13,FALSE),"")</f>
        <v/>
      </c>
      <c r="Z62" s="15" t="str">
        <f>IFERROR(VLOOKUP(Strom[[#This Row],[Thema_Bezeichung]],EFs_Strom[],14,FALSE),"")</f>
        <v/>
      </c>
      <c r="AA62" s="15" t="str">
        <f>IFERROR(VLOOKUP(Strom[[#This Row],[Thema_Bezeichung]],EFs_Strom[],15,FALSE),"")</f>
        <v/>
      </c>
      <c r="AB62" s="15" t="str">
        <f>IF(Strom[[#This Row],[Vertragsstrommix angegegeben?]]=TRUE,Strom[[#This Row],[Scope-2-Emissionsfaktor Vertragsstrommix
'[g CO2e/kWh']
(falls verfügbar)]]/1000,IFERROR(VLOOKUP(Strom[[#This Row],[Thema_Bezeichung]],EFs_Strom[],15,FALSE),""))</f>
        <v/>
      </c>
      <c r="AC62" s="15" t="str">
        <f>IFERROR(VLOOKUP(Strom[[#This Row],[Thema_Bezeichung]],EFs_Strom[],16,FALSE),"")</f>
        <v/>
      </c>
      <c r="AD62" s="15" t="str">
        <f>IFERROR(VLOOKUP(Strom[[#This Row],[Thema_Bezeichung]],EFs_Strom[],17,FALSE),"")</f>
        <v/>
      </c>
      <c r="AE62" s="15" t="str">
        <f>IFERROR(VLOOKUP(Strom[[#This Row],[Thema_Bezeichung]],EFs_Strom[],18,FALSE),"")</f>
        <v/>
      </c>
      <c r="AF62" s="15" t="str">
        <f>IFERROR(VLOOKUP(Strom[[#This Row],[Thema_Bezeichung]],EFs_Strom[],19,FALSE),"")</f>
        <v/>
      </c>
      <c r="AG62" s="15" t="str">
        <f>IFERROR(VLOOKUP(Strom[[#This Row],[Thema_Bezeichung]],EFs_Strom[],20,FALSE),"")</f>
        <v/>
      </c>
      <c r="AH62" s="15" t="str">
        <f>IFERROR(VLOOKUP(Strom[[#This Row],[Thema_Bezeichung]],EFs_Strom[],21,FALSE),"")</f>
        <v/>
      </c>
      <c r="AI62" s="15" t="str">
        <f>IFERROR(VLOOKUP(Strom[[#This Row],[Thema_Bezeichung]],EFs_Strom[],22,FALSE),"")</f>
        <v/>
      </c>
      <c r="AJ62" s="15" t="str">
        <f>IFERROR(VLOOKUP(Strom[[#This Row],[Thema_Bezeichung]],EFs_Strom[],23,FALSE),"")</f>
        <v/>
      </c>
      <c r="AK62" s="15" t="str">
        <f>IFERROR(VLOOKUP(Strom[[#This Row],[Thema_Bezeichung]],EFs_Strom[],24,FALSE),"")</f>
        <v/>
      </c>
      <c r="AL62" s="15" t="str">
        <f>IFERROR(VLOOKUP(Strom[[#This Row],[Thema_Bezeichung]],EFs_Strom[],30,FALSE),"")</f>
        <v/>
      </c>
      <c r="AM62" s="15" t="str">
        <f>IFERROR(Strom[[#This Row],[Wert 
(Zahl)]]*Strom[[#This Row],[EF Scope 1 CO2e
(kg CO2e/Einheit)]],"")</f>
        <v/>
      </c>
      <c r="AN62" s="15" t="str">
        <f>IFERROR(Strom[[#This Row],[Wert 
(Zahl)]]*Strom[[#This Row],[EF Scope 2 CO2e
(kg CO2e/Einheit)]],"")</f>
        <v/>
      </c>
      <c r="AO62" s="15" t="str">
        <f>IFERROR(Strom[[#This Row],[Wert 
(Zahl)]]*Strom[[#This Row],[EF Scope 3 CO2e
(kg CO2e/Einheit)]],"")</f>
        <v/>
      </c>
      <c r="AP62" s="15" t="str">
        <f>IFERROR(Strom[[#This Row],[Wert 
(Zahl)]]*Strom[[#This Row],[EF Scope 1 CO2 biogen
(kg CO2 /Einheit)]],"")</f>
        <v/>
      </c>
      <c r="AQ62" s="15" t="str">
        <f>IFERROR(Strom[[#This Row],[Wert 
(Zahl)]]*Strom[[#This Row],[Scope 2 Emissionsfaktor market-based '[kg CO2e/Einheit']]],"")</f>
        <v/>
      </c>
      <c r="AR62" s="15" t="str">
        <f>IFERROR(Strom[[#This Row],[Vermeidungsfaktor '[kg CO2e/Einheit']]]*Strom[[#This Row],[Wert 
(Zahl)]],"")</f>
        <v/>
      </c>
      <c r="AS62" s="15" t="str">
        <f>IFERROR(Strom[[#This Row],[Wert 
(Zahl)]]*Strom[[#This Row],[EF Scope 1 CO2
(kg CO2/Einheit)]],"")</f>
        <v/>
      </c>
      <c r="AT62" s="15" t="str">
        <f>IFERROR(Strom[[#This Row],[Wert 
(Zahl)]]*Strom[[#This Row],[EF Scope 1 CH4
(kg CH4/Einheit)]],"")</f>
        <v/>
      </c>
      <c r="AU62" s="15" t="str">
        <f>IFERROR(Strom[[#This Row],[Wert 
(Zahl)]]*Strom[[#This Row],[EF Scope 1 N2O
(kg N2O/Einheit)]],"")</f>
        <v/>
      </c>
      <c r="AV62" s="15" t="str">
        <f>IFERROR(Strom[[#This Row],[Wert 
(Zahl)]]*Strom[[#This Row],[EF Scope 1 HFCs
(kg HFCs/Einheit)]],"")</f>
        <v/>
      </c>
      <c r="AW62" s="15" t="str">
        <f>IFERROR(Strom[[#This Row],[Wert 
(Zahl)]]*Strom[[#This Row],[EF Scope 1 PFCs
(kg PFCs/Einheit)]],"")</f>
        <v/>
      </c>
      <c r="AX62" s="15" t="str">
        <f>IFERROR(Strom[[#This Row],[Wert 
(Zahl)]]*Strom[[#This Row],[EF Scope 1 SF6
(kg SF6/Einheit)]],"")</f>
        <v/>
      </c>
      <c r="AY62" s="15" t="str">
        <f>IFERROR(Strom[[#This Row],[Wert 
(Zahl)]]*Strom[[#This Row],[EF Scope 1 NF3
(kg NF3/Einheit)]],"")</f>
        <v/>
      </c>
      <c r="AZ62" s="15" t="str">
        <f>IFERROR(Strom[[#This Row],[Wert 
(Zahl)]]*Strom[[#This Row],[EF Scope 1 Nicht-Kyoto-Gase (kg Nicht-Kyoto-Gase/Einheit)]],"")</f>
        <v/>
      </c>
      <c r="BA62" s="15" t="str">
        <f>IFERROR(Strom[[#This Row],[Wert 
(Zahl)]]*Strom[[#This Row],[EF Scope 2 CO2
(kg CO2/Einheit)]],"")</f>
        <v/>
      </c>
      <c r="BB62" s="15" t="str">
        <f>IFERROR(Strom[[#This Row],[Wert 
(Zahl)]]*Strom[[#This Row],[EF Scope 2 CH4
(kg CH4/Einheit)]],"")</f>
        <v/>
      </c>
      <c r="BC62" s="15" t="str">
        <f>IFERROR(Strom[[#This Row],[Wert 
(Zahl)]]*Strom[[#This Row],[EF Scope 2 N2O
(kg N2O/Einheit)]],"")</f>
        <v/>
      </c>
      <c r="BD62" s="15" t="str">
        <f>IFERROR(Strom[[#This Row],[Wert 
(Zahl)]]*Strom[[#This Row],[EF Scope 2 HFCs
(kg HFCs/Einheit)]],"")</f>
        <v/>
      </c>
      <c r="BE62" s="15" t="str">
        <f>IFERROR(Strom[[#This Row],[Wert 
(Zahl)]]*Strom[[#This Row],[EF Scope 2 PFCs
(kg PFCs/Einheit)]],"")</f>
        <v/>
      </c>
      <c r="BF62" s="15" t="str">
        <f>IFERROR(Strom[[#This Row],[Wert 
(Zahl)]]*Strom[[#This Row],[EF Scope 2 SF6
(kg SF6/Einheit)]],"")</f>
        <v/>
      </c>
      <c r="BG62" s="15" t="str">
        <f>IFERROR(Strom[[#This Row],[Wert 
(Zahl)]]*Strom[[#This Row],[EF Scope 2 NF3
(kg NF3/Einheit)]],"")</f>
        <v/>
      </c>
      <c r="BH62" s="15" t="str">
        <f>IFERROR(Strom[[#This Row],[Wert 
(Zahl)]]*Strom[[#This Row],[EF Scope 2 Nicht-Kyoto-Gase (kg Nicht-Kyoto-Gase/Einheit)]],"")</f>
        <v/>
      </c>
      <c r="BI62" s="15" t="str">
        <f>IF(ISBLANK(Strom[[#This Row],[Wert 
(Zahl)]]),"",IFERROR(Strom[[#This Row],[Scope 1 CO2 '[kg CO2']]]*IFERROR(VLOOKUP("CO2",GWP_100[],3,FALSE),0),0))</f>
        <v/>
      </c>
      <c r="BJ62" s="15" t="str">
        <f>IF(ISBLANK(Strom[[#This Row],[Wert 
(Zahl)]]),"",IFERROR(Strom[[#This Row],[Scope 1 CH4 '[kg CH4']]]*IFERROR(VLOOKUP("CH4",GWP_100[],4,FALSE),0),0))</f>
        <v/>
      </c>
      <c r="BK62" s="15" t="str">
        <f>IF(ISBLANK(Strom[[#This Row],[Wert 
(Zahl)]]),"",IFERROR(Strom[[#This Row],[Scope 1 N2O '[kg N2O']]]*IFERROR(VLOOKUP("N2O",GWP_100[],5,FALSE),0),0))</f>
        <v/>
      </c>
      <c r="BL62" s="15" t="str">
        <f>IF(ISBLANK(Strom[[#This Row],[Wert 
(Zahl)]]),"",IFERROR(Strom[[#This Row],[Scope 1 HFCs '[kg HFCs']]]*IFERROR(VLOOKUP(Strom[[#This Row],[Emissionsquelle/Aktivität (Dropdown)]],GWP_100[],6,FALSE),0),0))</f>
        <v/>
      </c>
      <c r="BM62" s="15" t="str">
        <f>IF(ISBLANK(Strom[[#This Row],[Wert 
(Zahl)]]),"",IFERROR(Strom[[#This Row],[Scope 1 PFCs '[kg PFCs']]]*IFERROR(VLOOKUP(Strom[[#This Row],[Emissionsquelle/Aktivität (Dropdown)]],GWP_100[],7,FALSE),0),0))</f>
        <v/>
      </c>
      <c r="BN62" s="15" t="str">
        <f>IF(ISBLANK(Strom[[#This Row],[Wert 
(Zahl)]]),"",IFERROR(Strom[[#This Row],[Scope 1 SF6 '[kg SF6']]]*IFERROR(VLOOKUP("SF6",GWP_100[],8,FALSE),0),0))</f>
        <v/>
      </c>
      <c r="BO62" s="15" t="str">
        <f>IF(ISBLANK(Strom[[#This Row],[Wert 
(Zahl)]]),"",IFERROR(Strom[[#This Row],[Scope 1 NF3 '[kg NF3']]]*IFERROR(VLOOKUP("NF3",GWP_100[],9,FALSE),0),0))</f>
        <v/>
      </c>
      <c r="BP62" s="15" t="str">
        <f>IF(ISBLANK(Strom[[#This Row],[Wert 
(Zahl)]]),"",IFERROR(Strom[[#This Row],[Scope 1 non-Kyoto '[kg non-Kyoto gas']]]*IFERROR(VLOOKUP(Strom[[#This Row],[Emissionsquelle/Aktivität (Dropdown)]],GWP_100[],10,FALSE),0),0))</f>
        <v/>
      </c>
      <c r="BQ62" s="15" t="str">
        <f>IF(ISBLANK(Strom[[#This Row],[Wert 
(Zahl)]]),"",IFERROR(Strom[[#This Row],[Scope 2 CO2 '[kg CO2']]]*IFERROR(VLOOKUP("CO2",GWP_100[],3,FALSE),0),0))</f>
        <v/>
      </c>
      <c r="BR62" s="15" t="str">
        <f>IF(ISBLANK(Strom[[#This Row],[Wert 
(Zahl)]]),"",IFERROR(Strom[[#This Row],[Scope 2 CH4 '[kg CH4']]]*IFERROR(VLOOKUP("CH4",GWP_100[],4,FALSE),0),0))</f>
        <v/>
      </c>
      <c r="BS62" s="15" t="str">
        <f>IF(ISBLANK(Strom[[#This Row],[Wert 
(Zahl)]]),"",IFERROR(Strom[[#This Row],[Scope 2 N2O '[kg N2O']]]*IFERROR(VLOOKUP("N2O",GWP_100[],5,FALSE),0),0))</f>
        <v/>
      </c>
      <c r="BT62" s="15" t="str">
        <f>IF(ISBLANK(Strom[[#This Row],[Wert 
(Zahl)]]),"",IFERROR(Strom[[#This Row],[Scope 2 HFCs '[kg HFCs']]]*IFERROR(VLOOKUP(Strom[[#This Row],[Emissionsquelle/Aktivität (Dropdown)]],GWP_100[],6,FALSE),0),0))</f>
        <v/>
      </c>
      <c r="BU62" s="15" t="str">
        <f>IF(ISBLANK(Strom[[#This Row],[Wert 
(Zahl)]]),"",IFERROR(Strom[[#This Row],[Scope 2 PFCs '[kg PFCs']]]*IFERROR(VLOOKUP(Strom[[#This Row],[Emissionsquelle/Aktivität (Dropdown)]],GWP_100[],7,FALSE),0),0))</f>
        <v/>
      </c>
      <c r="BV62" s="15" t="str">
        <f>IF(ISBLANK(Strom[[#This Row],[Wert 
(Zahl)]]),"",IFERROR(Strom[[#This Row],[Scope 2 SF6 '[kg SF6']]]*IFERROR(VLOOKUP("SF6",GWP_100[],8,FALSE),0),0))</f>
        <v/>
      </c>
      <c r="BW62" s="15" t="str">
        <f>IF(ISBLANK(Strom[[#This Row],[Wert 
(Zahl)]]),"",IFERROR(Strom[[#This Row],[Scope 2 NF3 '[kg NF3']]]*IFERROR(VLOOKUP("NF3",GWP_100[],9,FALSE),0),0))</f>
        <v/>
      </c>
      <c r="BX62" s="15" t="str">
        <f>IF(ISBLANK(Strom[[#This Row],[Wert 
(Zahl)]]),"",IFERROR(Strom[[#This Row],[Scope 2 non-Kyoto '[kg non-Kyoto gas']]]*IFERROR(VLOOKUP(Strom[[#This Row],[Emissionsquelle/Aktivität (Dropdown)]],GWP_100[],10,FALSE),0),0))</f>
        <v/>
      </c>
    </row>
    <row r="63" spans="2:76" s="89" customFormat="1" x14ac:dyDescent="0.35">
      <c r="B63" s="604"/>
      <c r="C63" s="10" t="str">
        <f t="shared" si="1"/>
        <v>Strom</v>
      </c>
      <c r="D63" s="90"/>
      <c r="E63" s="90"/>
      <c r="F63" s="288"/>
      <c r="G63" s="10" t="str">
        <f>IFERROR(VLOOKUP(Strom[[#This Row],[Thema_Bezeichung]],EFs_Strom[],4,FALSE),"")</f>
        <v/>
      </c>
      <c r="H63" s="90"/>
      <c r="I63" s="90"/>
      <c r="J63" s="90"/>
      <c r="K63" s="90"/>
      <c r="L63" s="289" t="str">
        <f>IF(ISBLANK(Strom[[#This Row],[Wert 
(Zahl)]]),"", SUM(Strom[[#This Row],[Scope 1 CO2e '[kg CO2e']]],Strom[[#This Row],[Scope 2 CO2e '[kg CO2e']]],Strom[[#This Row],[Scope 3 CO2e '[kg CO2e']]]))</f>
        <v/>
      </c>
      <c r="M63" s="289" t="str">
        <f>IF(OR(ISBLANK(Strom[[#This Row],[Wert 
(Zahl)]]),Strom[[#This Row],[Emissionsquelle/Aktivität (Dropdown)]]&lt;&gt;"Strombezug (Deutschland)"),"", SUM(Strom[[#This Row],[Scope 1 CO2e '[kg CO2e']]],Strom[[#This Row],[Scope 2 CO2e market-based '[kg CO2e']]],Strom[[#This Row],[Scope 3 CO2e '[kg CO2e']]]))</f>
        <v/>
      </c>
      <c r="N63" s="158"/>
      <c r="O63" s="15" t="str">
        <f>IF(ISBLANK(Strom[[#This Row],[Emissionsquelle/Aktivität (Dropdown)]]),"",CONCATENATE(Strom[[#This Row],[Sektor_Thema]]," - ",Strom[[#This Row],[Emissionsquelle/Aktivität (Dropdown)]]))</f>
        <v/>
      </c>
      <c r="P63" s="15" t="str">
        <f>IF(ISBLANK(Strom[[#This Row],[Emissionsquelle/Aktivität (Dropdown)]]),"",AND(Strom[[#This Row],[Emissionsquelle/Aktivität (Dropdown)]]="Strombezug (Deutschland)",ISNUMBER(Strom[[#This Row],[Scope-2-Emissionsfaktor Vertragsstrommix
'[g CO2e/kWh']
(falls verfügbar)]])))</f>
        <v/>
      </c>
      <c r="Q63" s="15" t="str">
        <f>IFERROR(VLOOKUP(Strom[[#This Row],[Thema_Bezeichung]],EFs_Strom[],5,FALSE),"")</f>
        <v/>
      </c>
      <c r="R63" s="15" t="str">
        <f>IFERROR(VLOOKUP(Strom[[#This Row],[Thema_Bezeichung]],EFs_Strom[],6,FALSE),"")</f>
        <v/>
      </c>
      <c r="S63" s="15" t="str">
        <f>IFERROR(VLOOKUP(Strom[[#This Row],[Thema_Bezeichung]],EFs_Strom[],7,FALSE),"")</f>
        <v/>
      </c>
      <c r="T63" s="15" t="str">
        <f>IFERROR(VLOOKUP(Strom[[#This Row],[Thema_Bezeichung]],EFs_Strom[],8,FALSE),"")</f>
        <v/>
      </c>
      <c r="U63" s="15" t="str">
        <f>IFERROR(VLOOKUP(Strom[[#This Row],[Thema_Bezeichung]],EFs_Strom[],9,FALSE),"")</f>
        <v/>
      </c>
      <c r="V63" s="15" t="str">
        <f>IFERROR(VLOOKUP(Strom[[#This Row],[Thema_Bezeichung]],EFs_Strom[],10,FALSE),"")</f>
        <v/>
      </c>
      <c r="W63" s="15" t="str">
        <f>IFERROR(VLOOKUP(Strom[[#This Row],[Thema_Bezeichung]],EFs_Strom[],11,FALSE),"")</f>
        <v/>
      </c>
      <c r="X63" s="15" t="str">
        <f>IFERROR(VLOOKUP(Strom[[#This Row],[Thema_Bezeichung]],EFs_Strom[],12,FALSE),"")</f>
        <v/>
      </c>
      <c r="Y63" s="15" t="str">
        <f>IFERROR(VLOOKUP(Strom[[#This Row],[Thema_Bezeichung]],EFs_Strom[],13,FALSE),"")</f>
        <v/>
      </c>
      <c r="Z63" s="15" t="str">
        <f>IFERROR(VLOOKUP(Strom[[#This Row],[Thema_Bezeichung]],EFs_Strom[],14,FALSE),"")</f>
        <v/>
      </c>
      <c r="AA63" s="15" t="str">
        <f>IFERROR(VLOOKUP(Strom[[#This Row],[Thema_Bezeichung]],EFs_Strom[],15,FALSE),"")</f>
        <v/>
      </c>
      <c r="AB63" s="15" t="str">
        <f>IF(Strom[[#This Row],[Vertragsstrommix angegegeben?]]=TRUE,Strom[[#This Row],[Scope-2-Emissionsfaktor Vertragsstrommix
'[g CO2e/kWh']
(falls verfügbar)]]/1000,IFERROR(VLOOKUP(Strom[[#This Row],[Thema_Bezeichung]],EFs_Strom[],15,FALSE),""))</f>
        <v/>
      </c>
      <c r="AC63" s="15" t="str">
        <f>IFERROR(VLOOKUP(Strom[[#This Row],[Thema_Bezeichung]],EFs_Strom[],16,FALSE),"")</f>
        <v/>
      </c>
      <c r="AD63" s="15" t="str">
        <f>IFERROR(VLOOKUP(Strom[[#This Row],[Thema_Bezeichung]],EFs_Strom[],17,FALSE),"")</f>
        <v/>
      </c>
      <c r="AE63" s="15" t="str">
        <f>IFERROR(VLOOKUP(Strom[[#This Row],[Thema_Bezeichung]],EFs_Strom[],18,FALSE),"")</f>
        <v/>
      </c>
      <c r="AF63" s="15" t="str">
        <f>IFERROR(VLOOKUP(Strom[[#This Row],[Thema_Bezeichung]],EFs_Strom[],19,FALSE),"")</f>
        <v/>
      </c>
      <c r="AG63" s="15" t="str">
        <f>IFERROR(VLOOKUP(Strom[[#This Row],[Thema_Bezeichung]],EFs_Strom[],20,FALSE),"")</f>
        <v/>
      </c>
      <c r="AH63" s="15" t="str">
        <f>IFERROR(VLOOKUP(Strom[[#This Row],[Thema_Bezeichung]],EFs_Strom[],21,FALSE),"")</f>
        <v/>
      </c>
      <c r="AI63" s="15" t="str">
        <f>IFERROR(VLOOKUP(Strom[[#This Row],[Thema_Bezeichung]],EFs_Strom[],22,FALSE),"")</f>
        <v/>
      </c>
      <c r="AJ63" s="15" t="str">
        <f>IFERROR(VLOOKUP(Strom[[#This Row],[Thema_Bezeichung]],EFs_Strom[],23,FALSE),"")</f>
        <v/>
      </c>
      <c r="AK63" s="15" t="str">
        <f>IFERROR(VLOOKUP(Strom[[#This Row],[Thema_Bezeichung]],EFs_Strom[],24,FALSE),"")</f>
        <v/>
      </c>
      <c r="AL63" s="15" t="str">
        <f>IFERROR(VLOOKUP(Strom[[#This Row],[Thema_Bezeichung]],EFs_Strom[],30,FALSE),"")</f>
        <v/>
      </c>
      <c r="AM63" s="15" t="str">
        <f>IFERROR(Strom[[#This Row],[Wert 
(Zahl)]]*Strom[[#This Row],[EF Scope 1 CO2e
(kg CO2e/Einheit)]],"")</f>
        <v/>
      </c>
      <c r="AN63" s="15" t="str">
        <f>IFERROR(Strom[[#This Row],[Wert 
(Zahl)]]*Strom[[#This Row],[EF Scope 2 CO2e
(kg CO2e/Einheit)]],"")</f>
        <v/>
      </c>
      <c r="AO63" s="15" t="str">
        <f>IFERROR(Strom[[#This Row],[Wert 
(Zahl)]]*Strom[[#This Row],[EF Scope 3 CO2e
(kg CO2e/Einheit)]],"")</f>
        <v/>
      </c>
      <c r="AP63" s="15" t="str">
        <f>IFERROR(Strom[[#This Row],[Wert 
(Zahl)]]*Strom[[#This Row],[EF Scope 1 CO2 biogen
(kg CO2 /Einheit)]],"")</f>
        <v/>
      </c>
      <c r="AQ63" s="15" t="str">
        <f>IFERROR(Strom[[#This Row],[Wert 
(Zahl)]]*Strom[[#This Row],[Scope 2 Emissionsfaktor market-based '[kg CO2e/Einheit']]],"")</f>
        <v/>
      </c>
      <c r="AR63" s="15" t="str">
        <f>IFERROR(Strom[[#This Row],[Vermeidungsfaktor '[kg CO2e/Einheit']]]*Strom[[#This Row],[Wert 
(Zahl)]],"")</f>
        <v/>
      </c>
      <c r="AS63" s="15" t="str">
        <f>IFERROR(Strom[[#This Row],[Wert 
(Zahl)]]*Strom[[#This Row],[EF Scope 1 CO2
(kg CO2/Einheit)]],"")</f>
        <v/>
      </c>
      <c r="AT63" s="15" t="str">
        <f>IFERROR(Strom[[#This Row],[Wert 
(Zahl)]]*Strom[[#This Row],[EF Scope 1 CH4
(kg CH4/Einheit)]],"")</f>
        <v/>
      </c>
      <c r="AU63" s="15" t="str">
        <f>IFERROR(Strom[[#This Row],[Wert 
(Zahl)]]*Strom[[#This Row],[EF Scope 1 N2O
(kg N2O/Einheit)]],"")</f>
        <v/>
      </c>
      <c r="AV63" s="15" t="str">
        <f>IFERROR(Strom[[#This Row],[Wert 
(Zahl)]]*Strom[[#This Row],[EF Scope 1 HFCs
(kg HFCs/Einheit)]],"")</f>
        <v/>
      </c>
      <c r="AW63" s="15" t="str">
        <f>IFERROR(Strom[[#This Row],[Wert 
(Zahl)]]*Strom[[#This Row],[EF Scope 1 PFCs
(kg PFCs/Einheit)]],"")</f>
        <v/>
      </c>
      <c r="AX63" s="15" t="str">
        <f>IFERROR(Strom[[#This Row],[Wert 
(Zahl)]]*Strom[[#This Row],[EF Scope 1 SF6
(kg SF6/Einheit)]],"")</f>
        <v/>
      </c>
      <c r="AY63" s="15" t="str">
        <f>IFERROR(Strom[[#This Row],[Wert 
(Zahl)]]*Strom[[#This Row],[EF Scope 1 NF3
(kg NF3/Einheit)]],"")</f>
        <v/>
      </c>
      <c r="AZ63" s="15" t="str">
        <f>IFERROR(Strom[[#This Row],[Wert 
(Zahl)]]*Strom[[#This Row],[EF Scope 1 Nicht-Kyoto-Gase (kg Nicht-Kyoto-Gase/Einheit)]],"")</f>
        <v/>
      </c>
      <c r="BA63" s="15" t="str">
        <f>IFERROR(Strom[[#This Row],[Wert 
(Zahl)]]*Strom[[#This Row],[EF Scope 2 CO2
(kg CO2/Einheit)]],"")</f>
        <v/>
      </c>
      <c r="BB63" s="15" t="str">
        <f>IFERROR(Strom[[#This Row],[Wert 
(Zahl)]]*Strom[[#This Row],[EF Scope 2 CH4
(kg CH4/Einheit)]],"")</f>
        <v/>
      </c>
      <c r="BC63" s="15" t="str">
        <f>IFERROR(Strom[[#This Row],[Wert 
(Zahl)]]*Strom[[#This Row],[EF Scope 2 N2O
(kg N2O/Einheit)]],"")</f>
        <v/>
      </c>
      <c r="BD63" s="15" t="str">
        <f>IFERROR(Strom[[#This Row],[Wert 
(Zahl)]]*Strom[[#This Row],[EF Scope 2 HFCs
(kg HFCs/Einheit)]],"")</f>
        <v/>
      </c>
      <c r="BE63" s="15" t="str">
        <f>IFERROR(Strom[[#This Row],[Wert 
(Zahl)]]*Strom[[#This Row],[EF Scope 2 PFCs
(kg PFCs/Einheit)]],"")</f>
        <v/>
      </c>
      <c r="BF63" s="15" t="str">
        <f>IFERROR(Strom[[#This Row],[Wert 
(Zahl)]]*Strom[[#This Row],[EF Scope 2 SF6
(kg SF6/Einheit)]],"")</f>
        <v/>
      </c>
      <c r="BG63" s="15" t="str">
        <f>IFERROR(Strom[[#This Row],[Wert 
(Zahl)]]*Strom[[#This Row],[EF Scope 2 NF3
(kg NF3/Einheit)]],"")</f>
        <v/>
      </c>
      <c r="BH63" s="15" t="str">
        <f>IFERROR(Strom[[#This Row],[Wert 
(Zahl)]]*Strom[[#This Row],[EF Scope 2 Nicht-Kyoto-Gase (kg Nicht-Kyoto-Gase/Einheit)]],"")</f>
        <v/>
      </c>
      <c r="BI63" s="15" t="str">
        <f>IF(ISBLANK(Strom[[#This Row],[Wert 
(Zahl)]]),"",IFERROR(Strom[[#This Row],[Scope 1 CO2 '[kg CO2']]]*IFERROR(VLOOKUP("CO2",GWP_100[],3,FALSE),0),0))</f>
        <v/>
      </c>
      <c r="BJ63" s="15" t="str">
        <f>IF(ISBLANK(Strom[[#This Row],[Wert 
(Zahl)]]),"",IFERROR(Strom[[#This Row],[Scope 1 CH4 '[kg CH4']]]*IFERROR(VLOOKUP("CH4",GWP_100[],4,FALSE),0),0))</f>
        <v/>
      </c>
      <c r="BK63" s="15" t="str">
        <f>IF(ISBLANK(Strom[[#This Row],[Wert 
(Zahl)]]),"",IFERROR(Strom[[#This Row],[Scope 1 N2O '[kg N2O']]]*IFERROR(VLOOKUP("N2O",GWP_100[],5,FALSE),0),0))</f>
        <v/>
      </c>
      <c r="BL63" s="15" t="str">
        <f>IF(ISBLANK(Strom[[#This Row],[Wert 
(Zahl)]]),"",IFERROR(Strom[[#This Row],[Scope 1 HFCs '[kg HFCs']]]*IFERROR(VLOOKUP(Strom[[#This Row],[Emissionsquelle/Aktivität (Dropdown)]],GWP_100[],6,FALSE),0),0))</f>
        <v/>
      </c>
      <c r="BM63" s="15" t="str">
        <f>IF(ISBLANK(Strom[[#This Row],[Wert 
(Zahl)]]),"",IFERROR(Strom[[#This Row],[Scope 1 PFCs '[kg PFCs']]]*IFERROR(VLOOKUP(Strom[[#This Row],[Emissionsquelle/Aktivität (Dropdown)]],GWP_100[],7,FALSE),0),0))</f>
        <v/>
      </c>
      <c r="BN63" s="15" t="str">
        <f>IF(ISBLANK(Strom[[#This Row],[Wert 
(Zahl)]]),"",IFERROR(Strom[[#This Row],[Scope 1 SF6 '[kg SF6']]]*IFERROR(VLOOKUP("SF6",GWP_100[],8,FALSE),0),0))</f>
        <v/>
      </c>
      <c r="BO63" s="15" t="str">
        <f>IF(ISBLANK(Strom[[#This Row],[Wert 
(Zahl)]]),"",IFERROR(Strom[[#This Row],[Scope 1 NF3 '[kg NF3']]]*IFERROR(VLOOKUP("NF3",GWP_100[],9,FALSE),0),0))</f>
        <v/>
      </c>
      <c r="BP63" s="15" t="str">
        <f>IF(ISBLANK(Strom[[#This Row],[Wert 
(Zahl)]]),"",IFERROR(Strom[[#This Row],[Scope 1 non-Kyoto '[kg non-Kyoto gas']]]*IFERROR(VLOOKUP(Strom[[#This Row],[Emissionsquelle/Aktivität (Dropdown)]],GWP_100[],10,FALSE),0),0))</f>
        <v/>
      </c>
      <c r="BQ63" s="15" t="str">
        <f>IF(ISBLANK(Strom[[#This Row],[Wert 
(Zahl)]]),"",IFERROR(Strom[[#This Row],[Scope 2 CO2 '[kg CO2']]]*IFERROR(VLOOKUP("CO2",GWP_100[],3,FALSE),0),0))</f>
        <v/>
      </c>
      <c r="BR63" s="15" t="str">
        <f>IF(ISBLANK(Strom[[#This Row],[Wert 
(Zahl)]]),"",IFERROR(Strom[[#This Row],[Scope 2 CH4 '[kg CH4']]]*IFERROR(VLOOKUP("CH4",GWP_100[],4,FALSE),0),0))</f>
        <v/>
      </c>
      <c r="BS63" s="15" t="str">
        <f>IF(ISBLANK(Strom[[#This Row],[Wert 
(Zahl)]]),"",IFERROR(Strom[[#This Row],[Scope 2 N2O '[kg N2O']]]*IFERROR(VLOOKUP("N2O",GWP_100[],5,FALSE),0),0))</f>
        <v/>
      </c>
      <c r="BT63" s="15" t="str">
        <f>IF(ISBLANK(Strom[[#This Row],[Wert 
(Zahl)]]),"",IFERROR(Strom[[#This Row],[Scope 2 HFCs '[kg HFCs']]]*IFERROR(VLOOKUP(Strom[[#This Row],[Emissionsquelle/Aktivität (Dropdown)]],GWP_100[],6,FALSE),0),0))</f>
        <v/>
      </c>
      <c r="BU63" s="15" t="str">
        <f>IF(ISBLANK(Strom[[#This Row],[Wert 
(Zahl)]]),"",IFERROR(Strom[[#This Row],[Scope 2 PFCs '[kg PFCs']]]*IFERROR(VLOOKUP(Strom[[#This Row],[Emissionsquelle/Aktivität (Dropdown)]],GWP_100[],7,FALSE),0),0))</f>
        <v/>
      </c>
      <c r="BV63" s="15" t="str">
        <f>IF(ISBLANK(Strom[[#This Row],[Wert 
(Zahl)]]),"",IFERROR(Strom[[#This Row],[Scope 2 SF6 '[kg SF6']]]*IFERROR(VLOOKUP("SF6",GWP_100[],8,FALSE),0),0))</f>
        <v/>
      </c>
      <c r="BW63" s="15" t="str">
        <f>IF(ISBLANK(Strom[[#This Row],[Wert 
(Zahl)]]),"",IFERROR(Strom[[#This Row],[Scope 2 NF3 '[kg NF3']]]*IFERROR(VLOOKUP("NF3",GWP_100[],9,FALSE),0),0))</f>
        <v/>
      </c>
      <c r="BX63" s="15" t="str">
        <f>IF(ISBLANK(Strom[[#This Row],[Wert 
(Zahl)]]),"",IFERROR(Strom[[#This Row],[Scope 2 non-Kyoto '[kg non-Kyoto gas']]]*IFERROR(VLOOKUP(Strom[[#This Row],[Emissionsquelle/Aktivität (Dropdown)]],GWP_100[],10,FALSE),0),0))</f>
        <v/>
      </c>
    </row>
    <row r="64" spans="2:76" s="89" customFormat="1" x14ac:dyDescent="0.35">
      <c r="B64" s="604"/>
      <c r="C64" s="10" t="str">
        <f t="shared" si="1"/>
        <v>Strom</v>
      </c>
      <c r="D64" s="90"/>
      <c r="E64" s="90"/>
      <c r="F64" s="288"/>
      <c r="G64" s="10" t="str">
        <f>IFERROR(VLOOKUP(Strom[[#This Row],[Thema_Bezeichung]],EFs_Strom[],4,FALSE),"")</f>
        <v/>
      </c>
      <c r="H64" s="90"/>
      <c r="I64" s="90"/>
      <c r="J64" s="90"/>
      <c r="K64" s="90"/>
      <c r="L64" s="289" t="str">
        <f>IF(ISBLANK(Strom[[#This Row],[Wert 
(Zahl)]]),"", SUM(Strom[[#This Row],[Scope 1 CO2e '[kg CO2e']]],Strom[[#This Row],[Scope 2 CO2e '[kg CO2e']]],Strom[[#This Row],[Scope 3 CO2e '[kg CO2e']]]))</f>
        <v/>
      </c>
      <c r="M64" s="289" t="str">
        <f>IF(OR(ISBLANK(Strom[[#This Row],[Wert 
(Zahl)]]),Strom[[#This Row],[Emissionsquelle/Aktivität (Dropdown)]]&lt;&gt;"Strombezug (Deutschland)"),"", SUM(Strom[[#This Row],[Scope 1 CO2e '[kg CO2e']]],Strom[[#This Row],[Scope 2 CO2e market-based '[kg CO2e']]],Strom[[#This Row],[Scope 3 CO2e '[kg CO2e']]]))</f>
        <v/>
      </c>
      <c r="N64" s="158"/>
      <c r="O64" s="15" t="str">
        <f>IF(ISBLANK(Strom[[#This Row],[Emissionsquelle/Aktivität (Dropdown)]]),"",CONCATENATE(Strom[[#This Row],[Sektor_Thema]]," - ",Strom[[#This Row],[Emissionsquelle/Aktivität (Dropdown)]]))</f>
        <v/>
      </c>
      <c r="P64" s="15" t="str">
        <f>IF(ISBLANK(Strom[[#This Row],[Emissionsquelle/Aktivität (Dropdown)]]),"",AND(Strom[[#This Row],[Emissionsquelle/Aktivität (Dropdown)]]="Strombezug (Deutschland)",ISNUMBER(Strom[[#This Row],[Scope-2-Emissionsfaktor Vertragsstrommix
'[g CO2e/kWh']
(falls verfügbar)]])))</f>
        <v/>
      </c>
      <c r="Q64" s="15" t="str">
        <f>IFERROR(VLOOKUP(Strom[[#This Row],[Thema_Bezeichung]],EFs_Strom[],5,FALSE),"")</f>
        <v/>
      </c>
      <c r="R64" s="15" t="str">
        <f>IFERROR(VLOOKUP(Strom[[#This Row],[Thema_Bezeichung]],EFs_Strom[],6,FALSE),"")</f>
        <v/>
      </c>
      <c r="S64" s="15" t="str">
        <f>IFERROR(VLOOKUP(Strom[[#This Row],[Thema_Bezeichung]],EFs_Strom[],7,FALSE),"")</f>
        <v/>
      </c>
      <c r="T64" s="15" t="str">
        <f>IFERROR(VLOOKUP(Strom[[#This Row],[Thema_Bezeichung]],EFs_Strom[],8,FALSE),"")</f>
        <v/>
      </c>
      <c r="U64" s="15" t="str">
        <f>IFERROR(VLOOKUP(Strom[[#This Row],[Thema_Bezeichung]],EFs_Strom[],9,FALSE),"")</f>
        <v/>
      </c>
      <c r="V64" s="15" t="str">
        <f>IFERROR(VLOOKUP(Strom[[#This Row],[Thema_Bezeichung]],EFs_Strom[],10,FALSE),"")</f>
        <v/>
      </c>
      <c r="W64" s="15" t="str">
        <f>IFERROR(VLOOKUP(Strom[[#This Row],[Thema_Bezeichung]],EFs_Strom[],11,FALSE),"")</f>
        <v/>
      </c>
      <c r="X64" s="15" t="str">
        <f>IFERROR(VLOOKUP(Strom[[#This Row],[Thema_Bezeichung]],EFs_Strom[],12,FALSE),"")</f>
        <v/>
      </c>
      <c r="Y64" s="15" t="str">
        <f>IFERROR(VLOOKUP(Strom[[#This Row],[Thema_Bezeichung]],EFs_Strom[],13,FALSE),"")</f>
        <v/>
      </c>
      <c r="Z64" s="15" t="str">
        <f>IFERROR(VLOOKUP(Strom[[#This Row],[Thema_Bezeichung]],EFs_Strom[],14,FALSE),"")</f>
        <v/>
      </c>
      <c r="AA64" s="15" t="str">
        <f>IFERROR(VLOOKUP(Strom[[#This Row],[Thema_Bezeichung]],EFs_Strom[],15,FALSE),"")</f>
        <v/>
      </c>
      <c r="AB64" s="15" t="str">
        <f>IF(Strom[[#This Row],[Vertragsstrommix angegegeben?]]=TRUE,Strom[[#This Row],[Scope-2-Emissionsfaktor Vertragsstrommix
'[g CO2e/kWh']
(falls verfügbar)]]/1000,IFERROR(VLOOKUP(Strom[[#This Row],[Thema_Bezeichung]],EFs_Strom[],15,FALSE),""))</f>
        <v/>
      </c>
      <c r="AC64" s="15" t="str">
        <f>IFERROR(VLOOKUP(Strom[[#This Row],[Thema_Bezeichung]],EFs_Strom[],16,FALSE),"")</f>
        <v/>
      </c>
      <c r="AD64" s="15" t="str">
        <f>IFERROR(VLOOKUP(Strom[[#This Row],[Thema_Bezeichung]],EFs_Strom[],17,FALSE),"")</f>
        <v/>
      </c>
      <c r="AE64" s="15" t="str">
        <f>IFERROR(VLOOKUP(Strom[[#This Row],[Thema_Bezeichung]],EFs_Strom[],18,FALSE),"")</f>
        <v/>
      </c>
      <c r="AF64" s="15" t="str">
        <f>IFERROR(VLOOKUP(Strom[[#This Row],[Thema_Bezeichung]],EFs_Strom[],19,FALSE),"")</f>
        <v/>
      </c>
      <c r="AG64" s="15" t="str">
        <f>IFERROR(VLOOKUP(Strom[[#This Row],[Thema_Bezeichung]],EFs_Strom[],20,FALSE),"")</f>
        <v/>
      </c>
      <c r="AH64" s="15" t="str">
        <f>IFERROR(VLOOKUP(Strom[[#This Row],[Thema_Bezeichung]],EFs_Strom[],21,FALSE),"")</f>
        <v/>
      </c>
      <c r="AI64" s="15" t="str">
        <f>IFERROR(VLOOKUP(Strom[[#This Row],[Thema_Bezeichung]],EFs_Strom[],22,FALSE),"")</f>
        <v/>
      </c>
      <c r="AJ64" s="15" t="str">
        <f>IFERROR(VLOOKUP(Strom[[#This Row],[Thema_Bezeichung]],EFs_Strom[],23,FALSE),"")</f>
        <v/>
      </c>
      <c r="AK64" s="15" t="str">
        <f>IFERROR(VLOOKUP(Strom[[#This Row],[Thema_Bezeichung]],EFs_Strom[],24,FALSE),"")</f>
        <v/>
      </c>
      <c r="AL64" s="15" t="str">
        <f>IFERROR(VLOOKUP(Strom[[#This Row],[Thema_Bezeichung]],EFs_Strom[],30,FALSE),"")</f>
        <v/>
      </c>
      <c r="AM64" s="15" t="str">
        <f>IFERROR(Strom[[#This Row],[Wert 
(Zahl)]]*Strom[[#This Row],[EF Scope 1 CO2e
(kg CO2e/Einheit)]],"")</f>
        <v/>
      </c>
      <c r="AN64" s="15" t="str">
        <f>IFERROR(Strom[[#This Row],[Wert 
(Zahl)]]*Strom[[#This Row],[EF Scope 2 CO2e
(kg CO2e/Einheit)]],"")</f>
        <v/>
      </c>
      <c r="AO64" s="15" t="str">
        <f>IFERROR(Strom[[#This Row],[Wert 
(Zahl)]]*Strom[[#This Row],[EF Scope 3 CO2e
(kg CO2e/Einheit)]],"")</f>
        <v/>
      </c>
      <c r="AP64" s="15" t="str">
        <f>IFERROR(Strom[[#This Row],[Wert 
(Zahl)]]*Strom[[#This Row],[EF Scope 1 CO2 biogen
(kg CO2 /Einheit)]],"")</f>
        <v/>
      </c>
      <c r="AQ64" s="15" t="str">
        <f>IFERROR(Strom[[#This Row],[Wert 
(Zahl)]]*Strom[[#This Row],[Scope 2 Emissionsfaktor market-based '[kg CO2e/Einheit']]],"")</f>
        <v/>
      </c>
      <c r="AR64" s="15" t="str">
        <f>IFERROR(Strom[[#This Row],[Vermeidungsfaktor '[kg CO2e/Einheit']]]*Strom[[#This Row],[Wert 
(Zahl)]],"")</f>
        <v/>
      </c>
      <c r="AS64" s="15" t="str">
        <f>IFERROR(Strom[[#This Row],[Wert 
(Zahl)]]*Strom[[#This Row],[EF Scope 1 CO2
(kg CO2/Einheit)]],"")</f>
        <v/>
      </c>
      <c r="AT64" s="15" t="str">
        <f>IFERROR(Strom[[#This Row],[Wert 
(Zahl)]]*Strom[[#This Row],[EF Scope 1 CH4
(kg CH4/Einheit)]],"")</f>
        <v/>
      </c>
      <c r="AU64" s="15" t="str">
        <f>IFERROR(Strom[[#This Row],[Wert 
(Zahl)]]*Strom[[#This Row],[EF Scope 1 N2O
(kg N2O/Einheit)]],"")</f>
        <v/>
      </c>
      <c r="AV64" s="15" t="str">
        <f>IFERROR(Strom[[#This Row],[Wert 
(Zahl)]]*Strom[[#This Row],[EF Scope 1 HFCs
(kg HFCs/Einheit)]],"")</f>
        <v/>
      </c>
      <c r="AW64" s="15" t="str">
        <f>IFERROR(Strom[[#This Row],[Wert 
(Zahl)]]*Strom[[#This Row],[EF Scope 1 PFCs
(kg PFCs/Einheit)]],"")</f>
        <v/>
      </c>
      <c r="AX64" s="15" t="str">
        <f>IFERROR(Strom[[#This Row],[Wert 
(Zahl)]]*Strom[[#This Row],[EF Scope 1 SF6
(kg SF6/Einheit)]],"")</f>
        <v/>
      </c>
      <c r="AY64" s="15" t="str">
        <f>IFERROR(Strom[[#This Row],[Wert 
(Zahl)]]*Strom[[#This Row],[EF Scope 1 NF3
(kg NF3/Einheit)]],"")</f>
        <v/>
      </c>
      <c r="AZ64" s="15" t="str">
        <f>IFERROR(Strom[[#This Row],[Wert 
(Zahl)]]*Strom[[#This Row],[EF Scope 1 Nicht-Kyoto-Gase (kg Nicht-Kyoto-Gase/Einheit)]],"")</f>
        <v/>
      </c>
      <c r="BA64" s="15" t="str">
        <f>IFERROR(Strom[[#This Row],[Wert 
(Zahl)]]*Strom[[#This Row],[EF Scope 2 CO2
(kg CO2/Einheit)]],"")</f>
        <v/>
      </c>
      <c r="BB64" s="15" t="str">
        <f>IFERROR(Strom[[#This Row],[Wert 
(Zahl)]]*Strom[[#This Row],[EF Scope 2 CH4
(kg CH4/Einheit)]],"")</f>
        <v/>
      </c>
      <c r="BC64" s="15" t="str">
        <f>IFERROR(Strom[[#This Row],[Wert 
(Zahl)]]*Strom[[#This Row],[EF Scope 2 N2O
(kg N2O/Einheit)]],"")</f>
        <v/>
      </c>
      <c r="BD64" s="15" t="str">
        <f>IFERROR(Strom[[#This Row],[Wert 
(Zahl)]]*Strom[[#This Row],[EF Scope 2 HFCs
(kg HFCs/Einheit)]],"")</f>
        <v/>
      </c>
      <c r="BE64" s="15" t="str">
        <f>IFERROR(Strom[[#This Row],[Wert 
(Zahl)]]*Strom[[#This Row],[EF Scope 2 PFCs
(kg PFCs/Einheit)]],"")</f>
        <v/>
      </c>
      <c r="BF64" s="15" t="str">
        <f>IFERROR(Strom[[#This Row],[Wert 
(Zahl)]]*Strom[[#This Row],[EF Scope 2 SF6
(kg SF6/Einheit)]],"")</f>
        <v/>
      </c>
      <c r="BG64" s="15" t="str">
        <f>IFERROR(Strom[[#This Row],[Wert 
(Zahl)]]*Strom[[#This Row],[EF Scope 2 NF3
(kg NF3/Einheit)]],"")</f>
        <v/>
      </c>
      <c r="BH64" s="15" t="str">
        <f>IFERROR(Strom[[#This Row],[Wert 
(Zahl)]]*Strom[[#This Row],[EF Scope 2 Nicht-Kyoto-Gase (kg Nicht-Kyoto-Gase/Einheit)]],"")</f>
        <v/>
      </c>
      <c r="BI64" s="15" t="str">
        <f>IF(ISBLANK(Strom[[#This Row],[Wert 
(Zahl)]]),"",IFERROR(Strom[[#This Row],[Scope 1 CO2 '[kg CO2']]]*IFERROR(VLOOKUP("CO2",GWP_100[],3,FALSE),0),0))</f>
        <v/>
      </c>
      <c r="BJ64" s="15" t="str">
        <f>IF(ISBLANK(Strom[[#This Row],[Wert 
(Zahl)]]),"",IFERROR(Strom[[#This Row],[Scope 1 CH4 '[kg CH4']]]*IFERROR(VLOOKUP("CH4",GWP_100[],4,FALSE),0),0))</f>
        <v/>
      </c>
      <c r="BK64" s="15" t="str">
        <f>IF(ISBLANK(Strom[[#This Row],[Wert 
(Zahl)]]),"",IFERROR(Strom[[#This Row],[Scope 1 N2O '[kg N2O']]]*IFERROR(VLOOKUP("N2O",GWP_100[],5,FALSE),0),0))</f>
        <v/>
      </c>
      <c r="BL64" s="15" t="str">
        <f>IF(ISBLANK(Strom[[#This Row],[Wert 
(Zahl)]]),"",IFERROR(Strom[[#This Row],[Scope 1 HFCs '[kg HFCs']]]*IFERROR(VLOOKUP(Strom[[#This Row],[Emissionsquelle/Aktivität (Dropdown)]],GWP_100[],6,FALSE),0),0))</f>
        <v/>
      </c>
      <c r="BM64" s="15" t="str">
        <f>IF(ISBLANK(Strom[[#This Row],[Wert 
(Zahl)]]),"",IFERROR(Strom[[#This Row],[Scope 1 PFCs '[kg PFCs']]]*IFERROR(VLOOKUP(Strom[[#This Row],[Emissionsquelle/Aktivität (Dropdown)]],GWP_100[],7,FALSE),0),0))</f>
        <v/>
      </c>
      <c r="BN64" s="15" t="str">
        <f>IF(ISBLANK(Strom[[#This Row],[Wert 
(Zahl)]]),"",IFERROR(Strom[[#This Row],[Scope 1 SF6 '[kg SF6']]]*IFERROR(VLOOKUP("SF6",GWP_100[],8,FALSE),0),0))</f>
        <v/>
      </c>
      <c r="BO64" s="15" t="str">
        <f>IF(ISBLANK(Strom[[#This Row],[Wert 
(Zahl)]]),"",IFERROR(Strom[[#This Row],[Scope 1 NF3 '[kg NF3']]]*IFERROR(VLOOKUP("NF3",GWP_100[],9,FALSE),0),0))</f>
        <v/>
      </c>
      <c r="BP64" s="15" t="str">
        <f>IF(ISBLANK(Strom[[#This Row],[Wert 
(Zahl)]]),"",IFERROR(Strom[[#This Row],[Scope 1 non-Kyoto '[kg non-Kyoto gas']]]*IFERROR(VLOOKUP(Strom[[#This Row],[Emissionsquelle/Aktivität (Dropdown)]],GWP_100[],10,FALSE),0),0))</f>
        <v/>
      </c>
      <c r="BQ64" s="15" t="str">
        <f>IF(ISBLANK(Strom[[#This Row],[Wert 
(Zahl)]]),"",IFERROR(Strom[[#This Row],[Scope 2 CO2 '[kg CO2']]]*IFERROR(VLOOKUP("CO2",GWP_100[],3,FALSE),0),0))</f>
        <v/>
      </c>
      <c r="BR64" s="15" t="str">
        <f>IF(ISBLANK(Strom[[#This Row],[Wert 
(Zahl)]]),"",IFERROR(Strom[[#This Row],[Scope 2 CH4 '[kg CH4']]]*IFERROR(VLOOKUP("CH4",GWP_100[],4,FALSE),0),0))</f>
        <v/>
      </c>
      <c r="BS64" s="15" t="str">
        <f>IF(ISBLANK(Strom[[#This Row],[Wert 
(Zahl)]]),"",IFERROR(Strom[[#This Row],[Scope 2 N2O '[kg N2O']]]*IFERROR(VLOOKUP("N2O",GWP_100[],5,FALSE),0),0))</f>
        <v/>
      </c>
      <c r="BT64" s="15" t="str">
        <f>IF(ISBLANK(Strom[[#This Row],[Wert 
(Zahl)]]),"",IFERROR(Strom[[#This Row],[Scope 2 HFCs '[kg HFCs']]]*IFERROR(VLOOKUP(Strom[[#This Row],[Emissionsquelle/Aktivität (Dropdown)]],GWP_100[],6,FALSE),0),0))</f>
        <v/>
      </c>
      <c r="BU64" s="15" t="str">
        <f>IF(ISBLANK(Strom[[#This Row],[Wert 
(Zahl)]]),"",IFERROR(Strom[[#This Row],[Scope 2 PFCs '[kg PFCs']]]*IFERROR(VLOOKUP(Strom[[#This Row],[Emissionsquelle/Aktivität (Dropdown)]],GWP_100[],7,FALSE),0),0))</f>
        <v/>
      </c>
      <c r="BV64" s="15" t="str">
        <f>IF(ISBLANK(Strom[[#This Row],[Wert 
(Zahl)]]),"",IFERROR(Strom[[#This Row],[Scope 2 SF6 '[kg SF6']]]*IFERROR(VLOOKUP("SF6",GWP_100[],8,FALSE),0),0))</f>
        <v/>
      </c>
      <c r="BW64" s="15" t="str">
        <f>IF(ISBLANK(Strom[[#This Row],[Wert 
(Zahl)]]),"",IFERROR(Strom[[#This Row],[Scope 2 NF3 '[kg NF3']]]*IFERROR(VLOOKUP("NF3",GWP_100[],9,FALSE),0),0))</f>
        <v/>
      </c>
      <c r="BX64" s="15" t="str">
        <f>IF(ISBLANK(Strom[[#This Row],[Wert 
(Zahl)]]),"",IFERROR(Strom[[#This Row],[Scope 2 non-Kyoto '[kg non-Kyoto gas']]]*IFERROR(VLOOKUP(Strom[[#This Row],[Emissionsquelle/Aktivität (Dropdown)]],GWP_100[],10,FALSE),0),0))</f>
        <v/>
      </c>
    </row>
    <row r="65" spans="2:76" s="89" customFormat="1" x14ac:dyDescent="0.35">
      <c r="B65" s="604"/>
      <c r="C65" s="10" t="str">
        <f t="shared" si="1"/>
        <v>Strom</v>
      </c>
      <c r="D65" s="90"/>
      <c r="E65" s="90"/>
      <c r="F65" s="288"/>
      <c r="G65" s="10" t="str">
        <f>IFERROR(VLOOKUP(Strom[[#This Row],[Thema_Bezeichung]],EFs_Strom[],4,FALSE),"")</f>
        <v/>
      </c>
      <c r="H65" s="90"/>
      <c r="I65" s="90"/>
      <c r="J65" s="90"/>
      <c r="K65" s="90"/>
      <c r="L65" s="289" t="str">
        <f>IF(ISBLANK(Strom[[#This Row],[Wert 
(Zahl)]]),"", SUM(Strom[[#This Row],[Scope 1 CO2e '[kg CO2e']]],Strom[[#This Row],[Scope 2 CO2e '[kg CO2e']]],Strom[[#This Row],[Scope 3 CO2e '[kg CO2e']]]))</f>
        <v/>
      </c>
      <c r="M65" s="289" t="str">
        <f>IF(OR(ISBLANK(Strom[[#This Row],[Wert 
(Zahl)]]),Strom[[#This Row],[Emissionsquelle/Aktivität (Dropdown)]]&lt;&gt;"Strombezug (Deutschland)"),"", SUM(Strom[[#This Row],[Scope 1 CO2e '[kg CO2e']]],Strom[[#This Row],[Scope 2 CO2e market-based '[kg CO2e']]],Strom[[#This Row],[Scope 3 CO2e '[kg CO2e']]]))</f>
        <v/>
      </c>
      <c r="N65" s="158"/>
      <c r="O65" s="15" t="str">
        <f>IF(ISBLANK(Strom[[#This Row],[Emissionsquelle/Aktivität (Dropdown)]]),"",CONCATENATE(Strom[[#This Row],[Sektor_Thema]]," - ",Strom[[#This Row],[Emissionsquelle/Aktivität (Dropdown)]]))</f>
        <v/>
      </c>
      <c r="P65" s="15" t="str">
        <f>IF(ISBLANK(Strom[[#This Row],[Emissionsquelle/Aktivität (Dropdown)]]),"",AND(Strom[[#This Row],[Emissionsquelle/Aktivität (Dropdown)]]="Strombezug (Deutschland)",ISNUMBER(Strom[[#This Row],[Scope-2-Emissionsfaktor Vertragsstrommix
'[g CO2e/kWh']
(falls verfügbar)]])))</f>
        <v/>
      </c>
      <c r="Q65" s="15" t="str">
        <f>IFERROR(VLOOKUP(Strom[[#This Row],[Thema_Bezeichung]],EFs_Strom[],5,FALSE),"")</f>
        <v/>
      </c>
      <c r="R65" s="15" t="str">
        <f>IFERROR(VLOOKUP(Strom[[#This Row],[Thema_Bezeichung]],EFs_Strom[],6,FALSE),"")</f>
        <v/>
      </c>
      <c r="S65" s="15" t="str">
        <f>IFERROR(VLOOKUP(Strom[[#This Row],[Thema_Bezeichung]],EFs_Strom[],7,FALSE),"")</f>
        <v/>
      </c>
      <c r="T65" s="15" t="str">
        <f>IFERROR(VLOOKUP(Strom[[#This Row],[Thema_Bezeichung]],EFs_Strom[],8,FALSE),"")</f>
        <v/>
      </c>
      <c r="U65" s="15" t="str">
        <f>IFERROR(VLOOKUP(Strom[[#This Row],[Thema_Bezeichung]],EFs_Strom[],9,FALSE),"")</f>
        <v/>
      </c>
      <c r="V65" s="15" t="str">
        <f>IFERROR(VLOOKUP(Strom[[#This Row],[Thema_Bezeichung]],EFs_Strom[],10,FALSE),"")</f>
        <v/>
      </c>
      <c r="W65" s="15" t="str">
        <f>IFERROR(VLOOKUP(Strom[[#This Row],[Thema_Bezeichung]],EFs_Strom[],11,FALSE),"")</f>
        <v/>
      </c>
      <c r="X65" s="15" t="str">
        <f>IFERROR(VLOOKUP(Strom[[#This Row],[Thema_Bezeichung]],EFs_Strom[],12,FALSE),"")</f>
        <v/>
      </c>
      <c r="Y65" s="15" t="str">
        <f>IFERROR(VLOOKUP(Strom[[#This Row],[Thema_Bezeichung]],EFs_Strom[],13,FALSE),"")</f>
        <v/>
      </c>
      <c r="Z65" s="15" t="str">
        <f>IFERROR(VLOOKUP(Strom[[#This Row],[Thema_Bezeichung]],EFs_Strom[],14,FALSE),"")</f>
        <v/>
      </c>
      <c r="AA65" s="15" t="str">
        <f>IFERROR(VLOOKUP(Strom[[#This Row],[Thema_Bezeichung]],EFs_Strom[],15,FALSE),"")</f>
        <v/>
      </c>
      <c r="AB65" s="15" t="str">
        <f>IF(Strom[[#This Row],[Vertragsstrommix angegegeben?]]=TRUE,Strom[[#This Row],[Scope-2-Emissionsfaktor Vertragsstrommix
'[g CO2e/kWh']
(falls verfügbar)]]/1000,IFERROR(VLOOKUP(Strom[[#This Row],[Thema_Bezeichung]],EFs_Strom[],15,FALSE),""))</f>
        <v/>
      </c>
      <c r="AC65" s="15" t="str">
        <f>IFERROR(VLOOKUP(Strom[[#This Row],[Thema_Bezeichung]],EFs_Strom[],16,FALSE),"")</f>
        <v/>
      </c>
      <c r="AD65" s="15" t="str">
        <f>IFERROR(VLOOKUP(Strom[[#This Row],[Thema_Bezeichung]],EFs_Strom[],17,FALSE),"")</f>
        <v/>
      </c>
      <c r="AE65" s="15" t="str">
        <f>IFERROR(VLOOKUP(Strom[[#This Row],[Thema_Bezeichung]],EFs_Strom[],18,FALSE),"")</f>
        <v/>
      </c>
      <c r="AF65" s="15" t="str">
        <f>IFERROR(VLOOKUP(Strom[[#This Row],[Thema_Bezeichung]],EFs_Strom[],19,FALSE),"")</f>
        <v/>
      </c>
      <c r="AG65" s="15" t="str">
        <f>IFERROR(VLOOKUP(Strom[[#This Row],[Thema_Bezeichung]],EFs_Strom[],20,FALSE),"")</f>
        <v/>
      </c>
      <c r="AH65" s="15" t="str">
        <f>IFERROR(VLOOKUP(Strom[[#This Row],[Thema_Bezeichung]],EFs_Strom[],21,FALSE),"")</f>
        <v/>
      </c>
      <c r="AI65" s="15" t="str">
        <f>IFERROR(VLOOKUP(Strom[[#This Row],[Thema_Bezeichung]],EFs_Strom[],22,FALSE),"")</f>
        <v/>
      </c>
      <c r="AJ65" s="15" t="str">
        <f>IFERROR(VLOOKUP(Strom[[#This Row],[Thema_Bezeichung]],EFs_Strom[],23,FALSE),"")</f>
        <v/>
      </c>
      <c r="AK65" s="15" t="str">
        <f>IFERROR(VLOOKUP(Strom[[#This Row],[Thema_Bezeichung]],EFs_Strom[],24,FALSE),"")</f>
        <v/>
      </c>
      <c r="AL65" s="15" t="str">
        <f>IFERROR(VLOOKUP(Strom[[#This Row],[Thema_Bezeichung]],EFs_Strom[],30,FALSE),"")</f>
        <v/>
      </c>
      <c r="AM65" s="15" t="str">
        <f>IFERROR(Strom[[#This Row],[Wert 
(Zahl)]]*Strom[[#This Row],[EF Scope 1 CO2e
(kg CO2e/Einheit)]],"")</f>
        <v/>
      </c>
      <c r="AN65" s="15" t="str">
        <f>IFERROR(Strom[[#This Row],[Wert 
(Zahl)]]*Strom[[#This Row],[EF Scope 2 CO2e
(kg CO2e/Einheit)]],"")</f>
        <v/>
      </c>
      <c r="AO65" s="15" t="str">
        <f>IFERROR(Strom[[#This Row],[Wert 
(Zahl)]]*Strom[[#This Row],[EF Scope 3 CO2e
(kg CO2e/Einheit)]],"")</f>
        <v/>
      </c>
      <c r="AP65" s="15" t="str">
        <f>IFERROR(Strom[[#This Row],[Wert 
(Zahl)]]*Strom[[#This Row],[EF Scope 1 CO2 biogen
(kg CO2 /Einheit)]],"")</f>
        <v/>
      </c>
      <c r="AQ65" s="15" t="str">
        <f>IFERROR(Strom[[#This Row],[Wert 
(Zahl)]]*Strom[[#This Row],[Scope 2 Emissionsfaktor market-based '[kg CO2e/Einheit']]],"")</f>
        <v/>
      </c>
      <c r="AR65" s="15" t="str">
        <f>IFERROR(Strom[[#This Row],[Vermeidungsfaktor '[kg CO2e/Einheit']]]*Strom[[#This Row],[Wert 
(Zahl)]],"")</f>
        <v/>
      </c>
      <c r="AS65" s="15" t="str">
        <f>IFERROR(Strom[[#This Row],[Wert 
(Zahl)]]*Strom[[#This Row],[EF Scope 1 CO2
(kg CO2/Einheit)]],"")</f>
        <v/>
      </c>
      <c r="AT65" s="15" t="str">
        <f>IFERROR(Strom[[#This Row],[Wert 
(Zahl)]]*Strom[[#This Row],[EF Scope 1 CH4
(kg CH4/Einheit)]],"")</f>
        <v/>
      </c>
      <c r="AU65" s="15" t="str">
        <f>IFERROR(Strom[[#This Row],[Wert 
(Zahl)]]*Strom[[#This Row],[EF Scope 1 N2O
(kg N2O/Einheit)]],"")</f>
        <v/>
      </c>
      <c r="AV65" s="15" t="str">
        <f>IFERROR(Strom[[#This Row],[Wert 
(Zahl)]]*Strom[[#This Row],[EF Scope 1 HFCs
(kg HFCs/Einheit)]],"")</f>
        <v/>
      </c>
      <c r="AW65" s="15" t="str">
        <f>IFERROR(Strom[[#This Row],[Wert 
(Zahl)]]*Strom[[#This Row],[EF Scope 1 PFCs
(kg PFCs/Einheit)]],"")</f>
        <v/>
      </c>
      <c r="AX65" s="15" t="str">
        <f>IFERROR(Strom[[#This Row],[Wert 
(Zahl)]]*Strom[[#This Row],[EF Scope 1 SF6
(kg SF6/Einheit)]],"")</f>
        <v/>
      </c>
      <c r="AY65" s="15" t="str">
        <f>IFERROR(Strom[[#This Row],[Wert 
(Zahl)]]*Strom[[#This Row],[EF Scope 1 NF3
(kg NF3/Einheit)]],"")</f>
        <v/>
      </c>
      <c r="AZ65" s="15" t="str">
        <f>IFERROR(Strom[[#This Row],[Wert 
(Zahl)]]*Strom[[#This Row],[EF Scope 1 Nicht-Kyoto-Gase (kg Nicht-Kyoto-Gase/Einheit)]],"")</f>
        <v/>
      </c>
      <c r="BA65" s="15" t="str">
        <f>IFERROR(Strom[[#This Row],[Wert 
(Zahl)]]*Strom[[#This Row],[EF Scope 2 CO2
(kg CO2/Einheit)]],"")</f>
        <v/>
      </c>
      <c r="BB65" s="15" t="str">
        <f>IFERROR(Strom[[#This Row],[Wert 
(Zahl)]]*Strom[[#This Row],[EF Scope 2 CH4
(kg CH4/Einheit)]],"")</f>
        <v/>
      </c>
      <c r="BC65" s="15" t="str">
        <f>IFERROR(Strom[[#This Row],[Wert 
(Zahl)]]*Strom[[#This Row],[EF Scope 2 N2O
(kg N2O/Einheit)]],"")</f>
        <v/>
      </c>
      <c r="BD65" s="15" t="str">
        <f>IFERROR(Strom[[#This Row],[Wert 
(Zahl)]]*Strom[[#This Row],[EF Scope 2 HFCs
(kg HFCs/Einheit)]],"")</f>
        <v/>
      </c>
      <c r="BE65" s="15" t="str">
        <f>IFERROR(Strom[[#This Row],[Wert 
(Zahl)]]*Strom[[#This Row],[EF Scope 2 PFCs
(kg PFCs/Einheit)]],"")</f>
        <v/>
      </c>
      <c r="BF65" s="15" t="str">
        <f>IFERROR(Strom[[#This Row],[Wert 
(Zahl)]]*Strom[[#This Row],[EF Scope 2 SF6
(kg SF6/Einheit)]],"")</f>
        <v/>
      </c>
      <c r="BG65" s="15" t="str">
        <f>IFERROR(Strom[[#This Row],[Wert 
(Zahl)]]*Strom[[#This Row],[EF Scope 2 NF3
(kg NF3/Einheit)]],"")</f>
        <v/>
      </c>
      <c r="BH65" s="15" t="str">
        <f>IFERROR(Strom[[#This Row],[Wert 
(Zahl)]]*Strom[[#This Row],[EF Scope 2 Nicht-Kyoto-Gase (kg Nicht-Kyoto-Gase/Einheit)]],"")</f>
        <v/>
      </c>
      <c r="BI65" s="15" t="str">
        <f>IF(ISBLANK(Strom[[#This Row],[Wert 
(Zahl)]]),"",IFERROR(Strom[[#This Row],[Scope 1 CO2 '[kg CO2']]]*IFERROR(VLOOKUP("CO2",GWP_100[],3,FALSE),0),0))</f>
        <v/>
      </c>
      <c r="BJ65" s="15" t="str">
        <f>IF(ISBLANK(Strom[[#This Row],[Wert 
(Zahl)]]),"",IFERROR(Strom[[#This Row],[Scope 1 CH4 '[kg CH4']]]*IFERROR(VLOOKUP("CH4",GWP_100[],4,FALSE),0),0))</f>
        <v/>
      </c>
      <c r="BK65" s="15" t="str">
        <f>IF(ISBLANK(Strom[[#This Row],[Wert 
(Zahl)]]),"",IFERROR(Strom[[#This Row],[Scope 1 N2O '[kg N2O']]]*IFERROR(VLOOKUP("N2O",GWP_100[],5,FALSE),0),0))</f>
        <v/>
      </c>
      <c r="BL65" s="15" t="str">
        <f>IF(ISBLANK(Strom[[#This Row],[Wert 
(Zahl)]]),"",IFERROR(Strom[[#This Row],[Scope 1 HFCs '[kg HFCs']]]*IFERROR(VLOOKUP(Strom[[#This Row],[Emissionsquelle/Aktivität (Dropdown)]],GWP_100[],6,FALSE),0),0))</f>
        <v/>
      </c>
      <c r="BM65" s="15" t="str">
        <f>IF(ISBLANK(Strom[[#This Row],[Wert 
(Zahl)]]),"",IFERROR(Strom[[#This Row],[Scope 1 PFCs '[kg PFCs']]]*IFERROR(VLOOKUP(Strom[[#This Row],[Emissionsquelle/Aktivität (Dropdown)]],GWP_100[],7,FALSE),0),0))</f>
        <v/>
      </c>
      <c r="BN65" s="15" t="str">
        <f>IF(ISBLANK(Strom[[#This Row],[Wert 
(Zahl)]]),"",IFERROR(Strom[[#This Row],[Scope 1 SF6 '[kg SF6']]]*IFERROR(VLOOKUP("SF6",GWP_100[],8,FALSE),0),0))</f>
        <v/>
      </c>
      <c r="BO65" s="15" t="str">
        <f>IF(ISBLANK(Strom[[#This Row],[Wert 
(Zahl)]]),"",IFERROR(Strom[[#This Row],[Scope 1 NF3 '[kg NF3']]]*IFERROR(VLOOKUP("NF3",GWP_100[],9,FALSE),0),0))</f>
        <v/>
      </c>
      <c r="BP65" s="15" t="str">
        <f>IF(ISBLANK(Strom[[#This Row],[Wert 
(Zahl)]]),"",IFERROR(Strom[[#This Row],[Scope 1 non-Kyoto '[kg non-Kyoto gas']]]*IFERROR(VLOOKUP(Strom[[#This Row],[Emissionsquelle/Aktivität (Dropdown)]],GWP_100[],10,FALSE),0),0))</f>
        <v/>
      </c>
      <c r="BQ65" s="15" t="str">
        <f>IF(ISBLANK(Strom[[#This Row],[Wert 
(Zahl)]]),"",IFERROR(Strom[[#This Row],[Scope 2 CO2 '[kg CO2']]]*IFERROR(VLOOKUP("CO2",GWP_100[],3,FALSE),0),0))</f>
        <v/>
      </c>
      <c r="BR65" s="15" t="str">
        <f>IF(ISBLANK(Strom[[#This Row],[Wert 
(Zahl)]]),"",IFERROR(Strom[[#This Row],[Scope 2 CH4 '[kg CH4']]]*IFERROR(VLOOKUP("CH4",GWP_100[],4,FALSE),0),0))</f>
        <v/>
      </c>
      <c r="BS65" s="15" t="str">
        <f>IF(ISBLANK(Strom[[#This Row],[Wert 
(Zahl)]]),"",IFERROR(Strom[[#This Row],[Scope 2 N2O '[kg N2O']]]*IFERROR(VLOOKUP("N2O",GWP_100[],5,FALSE),0),0))</f>
        <v/>
      </c>
      <c r="BT65" s="15" t="str">
        <f>IF(ISBLANK(Strom[[#This Row],[Wert 
(Zahl)]]),"",IFERROR(Strom[[#This Row],[Scope 2 HFCs '[kg HFCs']]]*IFERROR(VLOOKUP(Strom[[#This Row],[Emissionsquelle/Aktivität (Dropdown)]],GWP_100[],6,FALSE),0),0))</f>
        <v/>
      </c>
      <c r="BU65" s="15" t="str">
        <f>IF(ISBLANK(Strom[[#This Row],[Wert 
(Zahl)]]),"",IFERROR(Strom[[#This Row],[Scope 2 PFCs '[kg PFCs']]]*IFERROR(VLOOKUP(Strom[[#This Row],[Emissionsquelle/Aktivität (Dropdown)]],GWP_100[],7,FALSE),0),0))</f>
        <v/>
      </c>
      <c r="BV65" s="15" t="str">
        <f>IF(ISBLANK(Strom[[#This Row],[Wert 
(Zahl)]]),"",IFERROR(Strom[[#This Row],[Scope 2 SF6 '[kg SF6']]]*IFERROR(VLOOKUP("SF6",GWP_100[],8,FALSE),0),0))</f>
        <v/>
      </c>
      <c r="BW65" s="15" t="str">
        <f>IF(ISBLANK(Strom[[#This Row],[Wert 
(Zahl)]]),"",IFERROR(Strom[[#This Row],[Scope 2 NF3 '[kg NF3']]]*IFERROR(VLOOKUP("NF3",GWP_100[],9,FALSE),0),0))</f>
        <v/>
      </c>
      <c r="BX65" s="15" t="str">
        <f>IF(ISBLANK(Strom[[#This Row],[Wert 
(Zahl)]]),"",IFERROR(Strom[[#This Row],[Scope 2 non-Kyoto '[kg non-Kyoto gas']]]*IFERROR(VLOOKUP(Strom[[#This Row],[Emissionsquelle/Aktivität (Dropdown)]],GWP_100[],10,FALSE),0),0))</f>
        <v/>
      </c>
    </row>
    <row r="66" spans="2:76" s="89" customFormat="1" x14ac:dyDescent="0.35">
      <c r="B66" s="604"/>
      <c r="C66" s="10" t="str">
        <f t="shared" si="1"/>
        <v>Strom</v>
      </c>
      <c r="D66" s="90"/>
      <c r="E66" s="90"/>
      <c r="F66" s="288"/>
      <c r="G66" s="10" t="str">
        <f>IFERROR(VLOOKUP(Strom[[#This Row],[Thema_Bezeichung]],EFs_Strom[],4,FALSE),"")</f>
        <v/>
      </c>
      <c r="H66" s="90"/>
      <c r="I66" s="90"/>
      <c r="J66" s="90"/>
      <c r="K66" s="90"/>
      <c r="L66" s="289" t="str">
        <f>IF(ISBLANK(Strom[[#This Row],[Wert 
(Zahl)]]),"", SUM(Strom[[#This Row],[Scope 1 CO2e '[kg CO2e']]],Strom[[#This Row],[Scope 2 CO2e '[kg CO2e']]],Strom[[#This Row],[Scope 3 CO2e '[kg CO2e']]]))</f>
        <v/>
      </c>
      <c r="M66" s="289" t="str">
        <f>IF(OR(ISBLANK(Strom[[#This Row],[Wert 
(Zahl)]]),Strom[[#This Row],[Emissionsquelle/Aktivität (Dropdown)]]&lt;&gt;"Strombezug (Deutschland)"),"", SUM(Strom[[#This Row],[Scope 1 CO2e '[kg CO2e']]],Strom[[#This Row],[Scope 2 CO2e market-based '[kg CO2e']]],Strom[[#This Row],[Scope 3 CO2e '[kg CO2e']]]))</f>
        <v/>
      </c>
      <c r="N66" s="158"/>
      <c r="O66" s="15" t="str">
        <f>IF(ISBLANK(Strom[[#This Row],[Emissionsquelle/Aktivität (Dropdown)]]),"",CONCATENATE(Strom[[#This Row],[Sektor_Thema]]," - ",Strom[[#This Row],[Emissionsquelle/Aktivität (Dropdown)]]))</f>
        <v/>
      </c>
      <c r="P66" s="15" t="str">
        <f>IF(ISBLANK(Strom[[#This Row],[Emissionsquelle/Aktivität (Dropdown)]]),"",AND(Strom[[#This Row],[Emissionsquelle/Aktivität (Dropdown)]]="Strombezug (Deutschland)",ISNUMBER(Strom[[#This Row],[Scope-2-Emissionsfaktor Vertragsstrommix
'[g CO2e/kWh']
(falls verfügbar)]])))</f>
        <v/>
      </c>
      <c r="Q66" s="15" t="str">
        <f>IFERROR(VLOOKUP(Strom[[#This Row],[Thema_Bezeichung]],EFs_Strom[],5,FALSE),"")</f>
        <v/>
      </c>
      <c r="R66" s="15" t="str">
        <f>IFERROR(VLOOKUP(Strom[[#This Row],[Thema_Bezeichung]],EFs_Strom[],6,FALSE),"")</f>
        <v/>
      </c>
      <c r="S66" s="15" t="str">
        <f>IFERROR(VLOOKUP(Strom[[#This Row],[Thema_Bezeichung]],EFs_Strom[],7,FALSE),"")</f>
        <v/>
      </c>
      <c r="T66" s="15" t="str">
        <f>IFERROR(VLOOKUP(Strom[[#This Row],[Thema_Bezeichung]],EFs_Strom[],8,FALSE),"")</f>
        <v/>
      </c>
      <c r="U66" s="15" t="str">
        <f>IFERROR(VLOOKUP(Strom[[#This Row],[Thema_Bezeichung]],EFs_Strom[],9,FALSE),"")</f>
        <v/>
      </c>
      <c r="V66" s="15" t="str">
        <f>IFERROR(VLOOKUP(Strom[[#This Row],[Thema_Bezeichung]],EFs_Strom[],10,FALSE),"")</f>
        <v/>
      </c>
      <c r="W66" s="15" t="str">
        <f>IFERROR(VLOOKUP(Strom[[#This Row],[Thema_Bezeichung]],EFs_Strom[],11,FALSE),"")</f>
        <v/>
      </c>
      <c r="X66" s="15" t="str">
        <f>IFERROR(VLOOKUP(Strom[[#This Row],[Thema_Bezeichung]],EFs_Strom[],12,FALSE),"")</f>
        <v/>
      </c>
      <c r="Y66" s="15" t="str">
        <f>IFERROR(VLOOKUP(Strom[[#This Row],[Thema_Bezeichung]],EFs_Strom[],13,FALSE),"")</f>
        <v/>
      </c>
      <c r="Z66" s="15" t="str">
        <f>IFERROR(VLOOKUP(Strom[[#This Row],[Thema_Bezeichung]],EFs_Strom[],14,FALSE),"")</f>
        <v/>
      </c>
      <c r="AA66" s="15" t="str">
        <f>IFERROR(VLOOKUP(Strom[[#This Row],[Thema_Bezeichung]],EFs_Strom[],15,FALSE),"")</f>
        <v/>
      </c>
      <c r="AB66" s="15" t="str">
        <f>IF(Strom[[#This Row],[Vertragsstrommix angegegeben?]]=TRUE,Strom[[#This Row],[Scope-2-Emissionsfaktor Vertragsstrommix
'[g CO2e/kWh']
(falls verfügbar)]]/1000,IFERROR(VLOOKUP(Strom[[#This Row],[Thema_Bezeichung]],EFs_Strom[],15,FALSE),""))</f>
        <v/>
      </c>
      <c r="AC66" s="15" t="str">
        <f>IFERROR(VLOOKUP(Strom[[#This Row],[Thema_Bezeichung]],EFs_Strom[],16,FALSE),"")</f>
        <v/>
      </c>
      <c r="AD66" s="15" t="str">
        <f>IFERROR(VLOOKUP(Strom[[#This Row],[Thema_Bezeichung]],EFs_Strom[],17,FALSE),"")</f>
        <v/>
      </c>
      <c r="AE66" s="15" t="str">
        <f>IFERROR(VLOOKUP(Strom[[#This Row],[Thema_Bezeichung]],EFs_Strom[],18,FALSE),"")</f>
        <v/>
      </c>
      <c r="AF66" s="15" t="str">
        <f>IFERROR(VLOOKUP(Strom[[#This Row],[Thema_Bezeichung]],EFs_Strom[],19,FALSE),"")</f>
        <v/>
      </c>
      <c r="AG66" s="15" t="str">
        <f>IFERROR(VLOOKUP(Strom[[#This Row],[Thema_Bezeichung]],EFs_Strom[],20,FALSE),"")</f>
        <v/>
      </c>
      <c r="AH66" s="15" t="str">
        <f>IFERROR(VLOOKUP(Strom[[#This Row],[Thema_Bezeichung]],EFs_Strom[],21,FALSE),"")</f>
        <v/>
      </c>
      <c r="AI66" s="15" t="str">
        <f>IFERROR(VLOOKUP(Strom[[#This Row],[Thema_Bezeichung]],EFs_Strom[],22,FALSE),"")</f>
        <v/>
      </c>
      <c r="AJ66" s="15" t="str">
        <f>IFERROR(VLOOKUP(Strom[[#This Row],[Thema_Bezeichung]],EFs_Strom[],23,FALSE),"")</f>
        <v/>
      </c>
      <c r="AK66" s="15" t="str">
        <f>IFERROR(VLOOKUP(Strom[[#This Row],[Thema_Bezeichung]],EFs_Strom[],24,FALSE),"")</f>
        <v/>
      </c>
      <c r="AL66" s="15" t="str">
        <f>IFERROR(VLOOKUP(Strom[[#This Row],[Thema_Bezeichung]],EFs_Strom[],30,FALSE),"")</f>
        <v/>
      </c>
      <c r="AM66" s="15" t="str">
        <f>IFERROR(Strom[[#This Row],[Wert 
(Zahl)]]*Strom[[#This Row],[EF Scope 1 CO2e
(kg CO2e/Einheit)]],"")</f>
        <v/>
      </c>
      <c r="AN66" s="15" t="str">
        <f>IFERROR(Strom[[#This Row],[Wert 
(Zahl)]]*Strom[[#This Row],[EF Scope 2 CO2e
(kg CO2e/Einheit)]],"")</f>
        <v/>
      </c>
      <c r="AO66" s="15" t="str">
        <f>IFERROR(Strom[[#This Row],[Wert 
(Zahl)]]*Strom[[#This Row],[EF Scope 3 CO2e
(kg CO2e/Einheit)]],"")</f>
        <v/>
      </c>
      <c r="AP66" s="15" t="str">
        <f>IFERROR(Strom[[#This Row],[Wert 
(Zahl)]]*Strom[[#This Row],[EF Scope 1 CO2 biogen
(kg CO2 /Einheit)]],"")</f>
        <v/>
      </c>
      <c r="AQ66" s="15" t="str">
        <f>IFERROR(Strom[[#This Row],[Wert 
(Zahl)]]*Strom[[#This Row],[Scope 2 Emissionsfaktor market-based '[kg CO2e/Einheit']]],"")</f>
        <v/>
      </c>
      <c r="AR66" s="15" t="str">
        <f>IFERROR(Strom[[#This Row],[Vermeidungsfaktor '[kg CO2e/Einheit']]]*Strom[[#This Row],[Wert 
(Zahl)]],"")</f>
        <v/>
      </c>
      <c r="AS66" s="15" t="str">
        <f>IFERROR(Strom[[#This Row],[Wert 
(Zahl)]]*Strom[[#This Row],[EF Scope 1 CO2
(kg CO2/Einheit)]],"")</f>
        <v/>
      </c>
      <c r="AT66" s="15" t="str">
        <f>IFERROR(Strom[[#This Row],[Wert 
(Zahl)]]*Strom[[#This Row],[EF Scope 1 CH4
(kg CH4/Einheit)]],"")</f>
        <v/>
      </c>
      <c r="AU66" s="15" t="str">
        <f>IFERROR(Strom[[#This Row],[Wert 
(Zahl)]]*Strom[[#This Row],[EF Scope 1 N2O
(kg N2O/Einheit)]],"")</f>
        <v/>
      </c>
      <c r="AV66" s="15" t="str">
        <f>IFERROR(Strom[[#This Row],[Wert 
(Zahl)]]*Strom[[#This Row],[EF Scope 1 HFCs
(kg HFCs/Einheit)]],"")</f>
        <v/>
      </c>
      <c r="AW66" s="15" t="str">
        <f>IFERROR(Strom[[#This Row],[Wert 
(Zahl)]]*Strom[[#This Row],[EF Scope 1 PFCs
(kg PFCs/Einheit)]],"")</f>
        <v/>
      </c>
      <c r="AX66" s="15" t="str">
        <f>IFERROR(Strom[[#This Row],[Wert 
(Zahl)]]*Strom[[#This Row],[EF Scope 1 SF6
(kg SF6/Einheit)]],"")</f>
        <v/>
      </c>
      <c r="AY66" s="15" t="str">
        <f>IFERROR(Strom[[#This Row],[Wert 
(Zahl)]]*Strom[[#This Row],[EF Scope 1 NF3
(kg NF3/Einheit)]],"")</f>
        <v/>
      </c>
      <c r="AZ66" s="15" t="str">
        <f>IFERROR(Strom[[#This Row],[Wert 
(Zahl)]]*Strom[[#This Row],[EF Scope 1 Nicht-Kyoto-Gase (kg Nicht-Kyoto-Gase/Einheit)]],"")</f>
        <v/>
      </c>
      <c r="BA66" s="15" t="str">
        <f>IFERROR(Strom[[#This Row],[Wert 
(Zahl)]]*Strom[[#This Row],[EF Scope 2 CO2
(kg CO2/Einheit)]],"")</f>
        <v/>
      </c>
      <c r="BB66" s="15" t="str">
        <f>IFERROR(Strom[[#This Row],[Wert 
(Zahl)]]*Strom[[#This Row],[EF Scope 2 CH4
(kg CH4/Einheit)]],"")</f>
        <v/>
      </c>
      <c r="BC66" s="15" t="str">
        <f>IFERROR(Strom[[#This Row],[Wert 
(Zahl)]]*Strom[[#This Row],[EF Scope 2 N2O
(kg N2O/Einheit)]],"")</f>
        <v/>
      </c>
      <c r="BD66" s="15" t="str">
        <f>IFERROR(Strom[[#This Row],[Wert 
(Zahl)]]*Strom[[#This Row],[EF Scope 2 HFCs
(kg HFCs/Einheit)]],"")</f>
        <v/>
      </c>
      <c r="BE66" s="15" t="str">
        <f>IFERROR(Strom[[#This Row],[Wert 
(Zahl)]]*Strom[[#This Row],[EF Scope 2 PFCs
(kg PFCs/Einheit)]],"")</f>
        <v/>
      </c>
      <c r="BF66" s="15" t="str">
        <f>IFERROR(Strom[[#This Row],[Wert 
(Zahl)]]*Strom[[#This Row],[EF Scope 2 SF6
(kg SF6/Einheit)]],"")</f>
        <v/>
      </c>
      <c r="BG66" s="15" t="str">
        <f>IFERROR(Strom[[#This Row],[Wert 
(Zahl)]]*Strom[[#This Row],[EF Scope 2 NF3
(kg NF3/Einheit)]],"")</f>
        <v/>
      </c>
      <c r="BH66" s="15" t="str">
        <f>IFERROR(Strom[[#This Row],[Wert 
(Zahl)]]*Strom[[#This Row],[EF Scope 2 Nicht-Kyoto-Gase (kg Nicht-Kyoto-Gase/Einheit)]],"")</f>
        <v/>
      </c>
      <c r="BI66" s="15" t="str">
        <f>IF(ISBLANK(Strom[[#This Row],[Wert 
(Zahl)]]),"",IFERROR(Strom[[#This Row],[Scope 1 CO2 '[kg CO2']]]*IFERROR(VLOOKUP("CO2",GWP_100[],3,FALSE),0),0))</f>
        <v/>
      </c>
      <c r="BJ66" s="15" t="str">
        <f>IF(ISBLANK(Strom[[#This Row],[Wert 
(Zahl)]]),"",IFERROR(Strom[[#This Row],[Scope 1 CH4 '[kg CH4']]]*IFERROR(VLOOKUP("CH4",GWP_100[],4,FALSE),0),0))</f>
        <v/>
      </c>
      <c r="BK66" s="15" t="str">
        <f>IF(ISBLANK(Strom[[#This Row],[Wert 
(Zahl)]]),"",IFERROR(Strom[[#This Row],[Scope 1 N2O '[kg N2O']]]*IFERROR(VLOOKUP("N2O",GWP_100[],5,FALSE),0),0))</f>
        <v/>
      </c>
      <c r="BL66" s="15" t="str">
        <f>IF(ISBLANK(Strom[[#This Row],[Wert 
(Zahl)]]),"",IFERROR(Strom[[#This Row],[Scope 1 HFCs '[kg HFCs']]]*IFERROR(VLOOKUP(Strom[[#This Row],[Emissionsquelle/Aktivität (Dropdown)]],GWP_100[],6,FALSE),0),0))</f>
        <v/>
      </c>
      <c r="BM66" s="15" t="str">
        <f>IF(ISBLANK(Strom[[#This Row],[Wert 
(Zahl)]]),"",IFERROR(Strom[[#This Row],[Scope 1 PFCs '[kg PFCs']]]*IFERROR(VLOOKUP(Strom[[#This Row],[Emissionsquelle/Aktivität (Dropdown)]],GWP_100[],7,FALSE),0),0))</f>
        <v/>
      </c>
      <c r="BN66" s="15" t="str">
        <f>IF(ISBLANK(Strom[[#This Row],[Wert 
(Zahl)]]),"",IFERROR(Strom[[#This Row],[Scope 1 SF6 '[kg SF6']]]*IFERROR(VLOOKUP("SF6",GWP_100[],8,FALSE),0),0))</f>
        <v/>
      </c>
      <c r="BO66" s="15" t="str">
        <f>IF(ISBLANK(Strom[[#This Row],[Wert 
(Zahl)]]),"",IFERROR(Strom[[#This Row],[Scope 1 NF3 '[kg NF3']]]*IFERROR(VLOOKUP("NF3",GWP_100[],9,FALSE),0),0))</f>
        <v/>
      </c>
      <c r="BP66" s="15" t="str">
        <f>IF(ISBLANK(Strom[[#This Row],[Wert 
(Zahl)]]),"",IFERROR(Strom[[#This Row],[Scope 1 non-Kyoto '[kg non-Kyoto gas']]]*IFERROR(VLOOKUP(Strom[[#This Row],[Emissionsquelle/Aktivität (Dropdown)]],GWP_100[],10,FALSE),0),0))</f>
        <v/>
      </c>
      <c r="BQ66" s="15" t="str">
        <f>IF(ISBLANK(Strom[[#This Row],[Wert 
(Zahl)]]),"",IFERROR(Strom[[#This Row],[Scope 2 CO2 '[kg CO2']]]*IFERROR(VLOOKUP("CO2",GWP_100[],3,FALSE),0),0))</f>
        <v/>
      </c>
      <c r="BR66" s="15" t="str">
        <f>IF(ISBLANK(Strom[[#This Row],[Wert 
(Zahl)]]),"",IFERROR(Strom[[#This Row],[Scope 2 CH4 '[kg CH4']]]*IFERROR(VLOOKUP("CH4",GWP_100[],4,FALSE),0),0))</f>
        <v/>
      </c>
      <c r="BS66" s="15" t="str">
        <f>IF(ISBLANK(Strom[[#This Row],[Wert 
(Zahl)]]),"",IFERROR(Strom[[#This Row],[Scope 2 N2O '[kg N2O']]]*IFERROR(VLOOKUP("N2O",GWP_100[],5,FALSE),0),0))</f>
        <v/>
      </c>
      <c r="BT66" s="15" t="str">
        <f>IF(ISBLANK(Strom[[#This Row],[Wert 
(Zahl)]]),"",IFERROR(Strom[[#This Row],[Scope 2 HFCs '[kg HFCs']]]*IFERROR(VLOOKUP(Strom[[#This Row],[Emissionsquelle/Aktivität (Dropdown)]],GWP_100[],6,FALSE),0),0))</f>
        <v/>
      </c>
      <c r="BU66" s="15" t="str">
        <f>IF(ISBLANK(Strom[[#This Row],[Wert 
(Zahl)]]),"",IFERROR(Strom[[#This Row],[Scope 2 PFCs '[kg PFCs']]]*IFERROR(VLOOKUP(Strom[[#This Row],[Emissionsquelle/Aktivität (Dropdown)]],GWP_100[],7,FALSE),0),0))</f>
        <v/>
      </c>
      <c r="BV66" s="15" t="str">
        <f>IF(ISBLANK(Strom[[#This Row],[Wert 
(Zahl)]]),"",IFERROR(Strom[[#This Row],[Scope 2 SF6 '[kg SF6']]]*IFERROR(VLOOKUP("SF6",GWP_100[],8,FALSE),0),0))</f>
        <v/>
      </c>
      <c r="BW66" s="15" t="str">
        <f>IF(ISBLANK(Strom[[#This Row],[Wert 
(Zahl)]]),"",IFERROR(Strom[[#This Row],[Scope 2 NF3 '[kg NF3']]]*IFERROR(VLOOKUP("NF3",GWP_100[],9,FALSE),0),0))</f>
        <v/>
      </c>
      <c r="BX66" s="15" t="str">
        <f>IF(ISBLANK(Strom[[#This Row],[Wert 
(Zahl)]]),"",IFERROR(Strom[[#This Row],[Scope 2 non-Kyoto '[kg non-Kyoto gas']]]*IFERROR(VLOOKUP(Strom[[#This Row],[Emissionsquelle/Aktivität (Dropdown)]],GWP_100[],10,FALSE),0),0))</f>
        <v/>
      </c>
    </row>
    <row r="67" spans="2:76" s="89" customFormat="1" x14ac:dyDescent="0.35">
      <c r="B67" s="604"/>
      <c r="C67" s="10" t="str">
        <f t="shared" si="1"/>
        <v>Strom</v>
      </c>
      <c r="D67" s="90"/>
      <c r="E67" s="90"/>
      <c r="F67" s="288"/>
      <c r="G67" s="10" t="str">
        <f>IFERROR(VLOOKUP(Strom[[#This Row],[Thema_Bezeichung]],EFs_Strom[],4,FALSE),"")</f>
        <v/>
      </c>
      <c r="H67" s="90"/>
      <c r="I67" s="90"/>
      <c r="J67" s="90"/>
      <c r="K67" s="90"/>
      <c r="L67" s="289" t="str">
        <f>IF(ISBLANK(Strom[[#This Row],[Wert 
(Zahl)]]),"", SUM(Strom[[#This Row],[Scope 1 CO2e '[kg CO2e']]],Strom[[#This Row],[Scope 2 CO2e '[kg CO2e']]],Strom[[#This Row],[Scope 3 CO2e '[kg CO2e']]]))</f>
        <v/>
      </c>
      <c r="M67" s="289" t="str">
        <f>IF(OR(ISBLANK(Strom[[#This Row],[Wert 
(Zahl)]]),Strom[[#This Row],[Emissionsquelle/Aktivität (Dropdown)]]&lt;&gt;"Strombezug (Deutschland)"),"", SUM(Strom[[#This Row],[Scope 1 CO2e '[kg CO2e']]],Strom[[#This Row],[Scope 2 CO2e market-based '[kg CO2e']]],Strom[[#This Row],[Scope 3 CO2e '[kg CO2e']]]))</f>
        <v/>
      </c>
      <c r="N67" s="158"/>
      <c r="O67" s="15" t="str">
        <f>IF(ISBLANK(Strom[[#This Row],[Emissionsquelle/Aktivität (Dropdown)]]),"",CONCATENATE(Strom[[#This Row],[Sektor_Thema]]," - ",Strom[[#This Row],[Emissionsquelle/Aktivität (Dropdown)]]))</f>
        <v/>
      </c>
      <c r="P67" s="15" t="str">
        <f>IF(ISBLANK(Strom[[#This Row],[Emissionsquelle/Aktivität (Dropdown)]]),"",AND(Strom[[#This Row],[Emissionsquelle/Aktivität (Dropdown)]]="Strombezug (Deutschland)",ISNUMBER(Strom[[#This Row],[Scope-2-Emissionsfaktor Vertragsstrommix
'[g CO2e/kWh']
(falls verfügbar)]])))</f>
        <v/>
      </c>
      <c r="Q67" s="15" t="str">
        <f>IFERROR(VLOOKUP(Strom[[#This Row],[Thema_Bezeichung]],EFs_Strom[],5,FALSE),"")</f>
        <v/>
      </c>
      <c r="R67" s="15" t="str">
        <f>IFERROR(VLOOKUP(Strom[[#This Row],[Thema_Bezeichung]],EFs_Strom[],6,FALSE),"")</f>
        <v/>
      </c>
      <c r="S67" s="15" t="str">
        <f>IFERROR(VLOOKUP(Strom[[#This Row],[Thema_Bezeichung]],EFs_Strom[],7,FALSE),"")</f>
        <v/>
      </c>
      <c r="T67" s="15" t="str">
        <f>IFERROR(VLOOKUP(Strom[[#This Row],[Thema_Bezeichung]],EFs_Strom[],8,FALSE),"")</f>
        <v/>
      </c>
      <c r="U67" s="15" t="str">
        <f>IFERROR(VLOOKUP(Strom[[#This Row],[Thema_Bezeichung]],EFs_Strom[],9,FALSE),"")</f>
        <v/>
      </c>
      <c r="V67" s="15" t="str">
        <f>IFERROR(VLOOKUP(Strom[[#This Row],[Thema_Bezeichung]],EFs_Strom[],10,FALSE),"")</f>
        <v/>
      </c>
      <c r="W67" s="15" t="str">
        <f>IFERROR(VLOOKUP(Strom[[#This Row],[Thema_Bezeichung]],EFs_Strom[],11,FALSE),"")</f>
        <v/>
      </c>
      <c r="X67" s="15" t="str">
        <f>IFERROR(VLOOKUP(Strom[[#This Row],[Thema_Bezeichung]],EFs_Strom[],12,FALSE),"")</f>
        <v/>
      </c>
      <c r="Y67" s="15" t="str">
        <f>IFERROR(VLOOKUP(Strom[[#This Row],[Thema_Bezeichung]],EFs_Strom[],13,FALSE),"")</f>
        <v/>
      </c>
      <c r="Z67" s="15" t="str">
        <f>IFERROR(VLOOKUP(Strom[[#This Row],[Thema_Bezeichung]],EFs_Strom[],14,FALSE),"")</f>
        <v/>
      </c>
      <c r="AA67" s="15" t="str">
        <f>IFERROR(VLOOKUP(Strom[[#This Row],[Thema_Bezeichung]],EFs_Strom[],15,FALSE),"")</f>
        <v/>
      </c>
      <c r="AB67" s="15" t="str">
        <f>IF(Strom[[#This Row],[Vertragsstrommix angegegeben?]]=TRUE,Strom[[#This Row],[Scope-2-Emissionsfaktor Vertragsstrommix
'[g CO2e/kWh']
(falls verfügbar)]]/1000,IFERROR(VLOOKUP(Strom[[#This Row],[Thema_Bezeichung]],EFs_Strom[],15,FALSE),""))</f>
        <v/>
      </c>
      <c r="AC67" s="15" t="str">
        <f>IFERROR(VLOOKUP(Strom[[#This Row],[Thema_Bezeichung]],EFs_Strom[],16,FALSE),"")</f>
        <v/>
      </c>
      <c r="AD67" s="15" t="str">
        <f>IFERROR(VLOOKUP(Strom[[#This Row],[Thema_Bezeichung]],EFs_Strom[],17,FALSE),"")</f>
        <v/>
      </c>
      <c r="AE67" s="15" t="str">
        <f>IFERROR(VLOOKUP(Strom[[#This Row],[Thema_Bezeichung]],EFs_Strom[],18,FALSE),"")</f>
        <v/>
      </c>
      <c r="AF67" s="15" t="str">
        <f>IFERROR(VLOOKUP(Strom[[#This Row],[Thema_Bezeichung]],EFs_Strom[],19,FALSE),"")</f>
        <v/>
      </c>
      <c r="AG67" s="15" t="str">
        <f>IFERROR(VLOOKUP(Strom[[#This Row],[Thema_Bezeichung]],EFs_Strom[],20,FALSE),"")</f>
        <v/>
      </c>
      <c r="AH67" s="15" t="str">
        <f>IFERROR(VLOOKUP(Strom[[#This Row],[Thema_Bezeichung]],EFs_Strom[],21,FALSE),"")</f>
        <v/>
      </c>
      <c r="AI67" s="15" t="str">
        <f>IFERROR(VLOOKUP(Strom[[#This Row],[Thema_Bezeichung]],EFs_Strom[],22,FALSE),"")</f>
        <v/>
      </c>
      <c r="AJ67" s="15" t="str">
        <f>IFERROR(VLOOKUP(Strom[[#This Row],[Thema_Bezeichung]],EFs_Strom[],23,FALSE),"")</f>
        <v/>
      </c>
      <c r="AK67" s="15" t="str">
        <f>IFERROR(VLOOKUP(Strom[[#This Row],[Thema_Bezeichung]],EFs_Strom[],24,FALSE),"")</f>
        <v/>
      </c>
      <c r="AL67" s="15" t="str">
        <f>IFERROR(VLOOKUP(Strom[[#This Row],[Thema_Bezeichung]],EFs_Strom[],30,FALSE),"")</f>
        <v/>
      </c>
      <c r="AM67" s="15" t="str">
        <f>IFERROR(Strom[[#This Row],[Wert 
(Zahl)]]*Strom[[#This Row],[EF Scope 1 CO2e
(kg CO2e/Einheit)]],"")</f>
        <v/>
      </c>
      <c r="AN67" s="15" t="str">
        <f>IFERROR(Strom[[#This Row],[Wert 
(Zahl)]]*Strom[[#This Row],[EF Scope 2 CO2e
(kg CO2e/Einheit)]],"")</f>
        <v/>
      </c>
      <c r="AO67" s="15" t="str">
        <f>IFERROR(Strom[[#This Row],[Wert 
(Zahl)]]*Strom[[#This Row],[EF Scope 3 CO2e
(kg CO2e/Einheit)]],"")</f>
        <v/>
      </c>
      <c r="AP67" s="15" t="str">
        <f>IFERROR(Strom[[#This Row],[Wert 
(Zahl)]]*Strom[[#This Row],[EF Scope 1 CO2 biogen
(kg CO2 /Einheit)]],"")</f>
        <v/>
      </c>
      <c r="AQ67" s="15" t="str">
        <f>IFERROR(Strom[[#This Row],[Wert 
(Zahl)]]*Strom[[#This Row],[Scope 2 Emissionsfaktor market-based '[kg CO2e/Einheit']]],"")</f>
        <v/>
      </c>
      <c r="AR67" s="15" t="str">
        <f>IFERROR(Strom[[#This Row],[Vermeidungsfaktor '[kg CO2e/Einheit']]]*Strom[[#This Row],[Wert 
(Zahl)]],"")</f>
        <v/>
      </c>
      <c r="AS67" s="15" t="str">
        <f>IFERROR(Strom[[#This Row],[Wert 
(Zahl)]]*Strom[[#This Row],[EF Scope 1 CO2
(kg CO2/Einheit)]],"")</f>
        <v/>
      </c>
      <c r="AT67" s="15" t="str">
        <f>IFERROR(Strom[[#This Row],[Wert 
(Zahl)]]*Strom[[#This Row],[EF Scope 1 CH4
(kg CH4/Einheit)]],"")</f>
        <v/>
      </c>
      <c r="AU67" s="15" t="str">
        <f>IFERROR(Strom[[#This Row],[Wert 
(Zahl)]]*Strom[[#This Row],[EF Scope 1 N2O
(kg N2O/Einheit)]],"")</f>
        <v/>
      </c>
      <c r="AV67" s="15" t="str">
        <f>IFERROR(Strom[[#This Row],[Wert 
(Zahl)]]*Strom[[#This Row],[EF Scope 1 HFCs
(kg HFCs/Einheit)]],"")</f>
        <v/>
      </c>
      <c r="AW67" s="15" t="str">
        <f>IFERROR(Strom[[#This Row],[Wert 
(Zahl)]]*Strom[[#This Row],[EF Scope 1 PFCs
(kg PFCs/Einheit)]],"")</f>
        <v/>
      </c>
      <c r="AX67" s="15" t="str">
        <f>IFERROR(Strom[[#This Row],[Wert 
(Zahl)]]*Strom[[#This Row],[EF Scope 1 SF6
(kg SF6/Einheit)]],"")</f>
        <v/>
      </c>
      <c r="AY67" s="15" t="str">
        <f>IFERROR(Strom[[#This Row],[Wert 
(Zahl)]]*Strom[[#This Row],[EF Scope 1 NF3
(kg NF3/Einheit)]],"")</f>
        <v/>
      </c>
      <c r="AZ67" s="15" t="str">
        <f>IFERROR(Strom[[#This Row],[Wert 
(Zahl)]]*Strom[[#This Row],[EF Scope 1 Nicht-Kyoto-Gase (kg Nicht-Kyoto-Gase/Einheit)]],"")</f>
        <v/>
      </c>
      <c r="BA67" s="15" t="str">
        <f>IFERROR(Strom[[#This Row],[Wert 
(Zahl)]]*Strom[[#This Row],[EF Scope 2 CO2
(kg CO2/Einheit)]],"")</f>
        <v/>
      </c>
      <c r="BB67" s="15" t="str">
        <f>IFERROR(Strom[[#This Row],[Wert 
(Zahl)]]*Strom[[#This Row],[EF Scope 2 CH4
(kg CH4/Einheit)]],"")</f>
        <v/>
      </c>
      <c r="BC67" s="15" t="str">
        <f>IFERROR(Strom[[#This Row],[Wert 
(Zahl)]]*Strom[[#This Row],[EF Scope 2 N2O
(kg N2O/Einheit)]],"")</f>
        <v/>
      </c>
      <c r="BD67" s="15" t="str">
        <f>IFERROR(Strom[[#This Row],[Wert 
(Zahl)]]*Strom[[#This Row],[EF Scope 2 HFCs
(kg HFCs/Einheit)]],"")</f>
        <v/>
      </c>
      <c r="BE67" s="15" t="str">
        <f>IFERROR(Strom[[#This Row],[Wert 
(Zahl)]]*Strom[[#This Row],[EF Scope 2 PFCs
(kg PFCs/Einheit)]],"")</f>
        <v/>
      </c>
      <c r="BF67" s="15" t="str">
        <f>IFERROR(Strom[[#This Row],[Wert 
(Zahl)]]*Strom[[#This Row],[EF Scope 2 SF6
(kg SF6/Einheit)]],"")</f>
        <v/>
      </c>
      <c r="BG67" s="15" t="str">
        <f>IFERROR(Strom[[#This Row],[Wert 
(Zahl)]]*Strom[[#This Row],[EF Scope 2 NF3
(kg NF3/Einheit)]],"")</f>
        <v/>
      </c>
      <c r="BH67" s="15" t="str">
        <f>IFERROR(Strom[[#This Row],[Wert 
(Zahl)]]*Strom[[#This Row],[EF Scope 2 Nicht-Kyoto-Gase (kg Nicht-Kyoto-Gase/Einheit)]],"")</f>
        <v/>
      </c>
      <c r="BI67" s="15" t="str">
        <f>IF(ISBLANK(Strom[[#This Row],[Wert 
(Zahl)]]),"",IFERROR(Strom[[#This Row],[Scope 1 CO2 '[kg CO2']]]*IFERROR(VLOOKUP("CO2",GWP_100[],3,FALSE),0),0))</f>
        <v/>
      </c>
      <c r="BJ67" s="15" t="str">
        <f>IF(ISBLANK(Strom[[#This Row],[Wert 
(Zahl)]]),"",IFERROR(Strom[[#This Row],[Scope 1 CH4 '[kg CH4']]]*IFERROR(VLOOKUP("CH4",GWP_100[],4,FALSE),0),0))</f>
        <v/>
      </c>
      <c r="BK67" s="15" t="str">
        <f>IF(ISBLANK(Strom[[#This Row],[Wert 
(Zahl)]]),"",IFERROR(Strom[[#This Row],[Scope 1 N2O '[kg N2O']]]*IFERROR(VLOOKUP("N2O",GWP_100[],5,FALSE),0),0))</f>
        <v/>
      </c>
      <c r="BL67" s="15" t="str">
        <f>IF(ISBLANK(Strom[[#This Row],[Wert 
(Zahl)]]),"",IFERROR(Strom[[#This Row],[Scope 1 HFCs '[kg HFCs']]]*IFERROR(VLOOKUP(Strom[[#This Row],[Emissionsquelle/Aktivität (Dropdown)]],GWP_100[],6,FALSE),0),0))</f>
        <v/>
      </c>
      <c r="BM67" s="15" t="str">
        <f>IF(ISBLANK(Strom[[#This Row],[Wert 
(Zahl)]]),"",IFERROR(Strom[[#This Row],[Scope 1 PFCs '[kg PFCs']]]*IFERROR(VLOOKUP(Strom[[#This Row],[Emissionsquelle/Aktivität (Dropdown)]],GWP_100[],7,FALSE),0),0))</f>
        <v/>
      </c>
      <c r="BN67" s="15" t="str">
        <f>IF(ISBLANK(Strom[[#This Row],[Wert 
(Zahl)]]),"",IFERROR(Strom[[#This Row],[Scope 1 SF6 '[kg SF6']]]*IFERROR(VLOOKUP("SF6",GWP_100[],8,FALSE),0),0))</f>
        <v/>
      </c>
      <c r="BO67" s="15" t="str">
        <f>IF(ISBLANK(Strom[[#This Row],[Wert 
(Zahl)]]),"",IFERROR(Strom[[#This Row],[Scope 1 NF3 '[kg NF3']]]*IFERROR(VLOOKUP("NF3",GWP_100[],9,FALSE),0),0))</f>
        <v/>
      </c>
      <c r="BP67" s="15" t="str">
        <f>IF(ISBLANK(Strom[[#This Row],[Wert 
(Zahl)]]),"",IFERROR(Strom[[#This Row],[Scope 1 non-Kyoto '[kg non-Kyoto gas']]]*IFERROR(VLOOKUP(Strom[[#This Row],[Emissionsquelle/Aktivität (Dropdown)]],GWP_100[],10,FALSE),0),0))</f>
        <v/>
      </c>
      <c r="BQ67" s="15" t="str">
        <f>IF(ISBLANK(Strom[[#This Row],[Wert 
(Zahl)]]),"",IFERROR(Strom[[#This Row],[Scope 2 CO2 '[kg CO2']]]*IFERROR(VLOOKUP("CO2",GWP_100[],3,FALSE),0),0))</f>
        <v/>
      </c>
      <c r="BR67" s="15" t="str">
        <f>IF(ISBLANK(Strom[[#This Row],[Wert 
(Zahl)]]),"",IFERROR(Strom[[#This Row],[Scope 2 CH4 '[kg CH4']]]*IFERROR(VLOOKUP("CH4",GWP_100[],4,FALSE),0),0))</f>
        <v/>
      </c>
      <c r="BS67" s="15" t="str">
        <f>IF(ISBLANK(Strom[[#This Row],[Wert 
(Zahl)]]),"",IFERROR(Strom[[#This Row],[Scope 2 N2O '[kg N2O']]]*IFERROR(VLOOKUP("N2O",GWP_100[],5,FALSE),0),0))</f>
        <v/>
      </c>
      <c r="BT67" s="15" t="str">
        <f>IF(ISBLANK(Strom[[#This Row],[Wert 
(Zahl)]]),"",IFERROR(Strom[[#This Row],[Scope 2 HFCs '[kg HFCs']]]*IFERROR(VLOOKUP(Strom[[#This Row],[Emissionsquelle/Aktivität (Dropdown)]],GWP_100[],6,FALSE),0),0))</f>
        <v/>
      </c>
      <c r="BU67" s="15" t="str">
        <f>IF(ISBLANK(Strom[[#This Row],[Wert 
(Zahl)]]),"",IFERROR(Strom[[#This Row],[Scope 2 PFCs '[kg PFCs']]]*IFERROR(VLOOKUP(Strom[[#This Row],[Emissionsquelle/Aktivität (Dropdown)]],GWP_100[],7,FALSE),0),0))</f>
        <v/>
      </c>
      <c r="BV67" s="15" t="str">
        <f>IF(ISBLANK(Strom[[#This Row],[Wert 
(Zahl)]]),"",IFERROR(Strom[[#This Row],[Scope 2 SF6 '[kg SF6']]]*IFERROR(VLOOKUP("SF6",GWP_100[],8,FALSE),0),0))</f>
        <v/>
      </c>
      <c r="BW67" s="15" t="str">
        <f>IF(ISBLANK(Strom[[#This Row],[Wert 
(Zahl)]]),"",IFERROR(Strom[[#This Row],[Scope 2 NF3 '[kg NF3']]]*IFERROR(VLOOKUP("NF3",GWP_100[],9,FALSE),0),0))</f>
        <v/>
      </c>
      <c r="BX67" s="15" t="str">
        <f>IF(ISBLANK(Strom[[#This Row],[Wert 
(Zahl)]]),"",IFERROR(Strom[[#This Row],[Scope 2 non-Kyoto '[kg non-Kyoto gas']]]*IFERROR(VLOOKUP(Strom[[#This Row],[Emissionsquelle/Aktivität (Dropdown)]],GWP_100[],10,FALSE),0),0))</f>
        <v/>
      </c>
    </row>
    <row r="68" spans="2:76" s="89" customFormat="1" x14ac:dyDescent="0.35">
      <c r="B68" s="604"/>
      <c r="C68" s="10" t="str">
        <f t="shared" si="1"/>
        <v>Strom</v>
      </c>
      <c r="D68" s="90"/>
      <c r="E68" s="90"/>
      <c r="F68" s="288"/>
      <c r="G68" s="10" t="str">
        <f>IFERROR(VLOOKUP(Strom[[#This Row],[Thema_Bezeichung]],EFs_Strom[],4,FALSE),"")</f>
        <v/>
      </c>
      <c r="H68" s="90"/>
      <c r="I68" s="90"/>
      <c r="J68" s="90"/>
      <c r="K68" s="90"/>
      <c r="L68" s="289" t="str">
        <f>IF(ISBLANK(Strom[[#This Row],[Wert 
(Zahl)]]),"", SUM(Strom[[#This Row],[Scope 1 CO2e '[kg CO2e']]],Strom[[#This Row],[Scope 2 CO2e '[kg CO2e']]],Strom[[#This Row],[Scope 3 CO2e '[kg CO2e']]]))</f>
        <v/>
      </c>
      <c r="M68" s="289" t="str">
        <f>IF(OR(ISBLANK(Strom[[#This Row],[Wert 
(Zahl)]]),Strom[[#This Row],[Emissionsquelle/Aktivität (Dropdown)]]&lt;&gt;"Strombezug (Deutschland)"),"", SUM(Strom[[#This Row],[Scope 1 CO2e '[kg CO2e']]],Strom[[#This Row],[Scope 2 CO2e market-based '[kg CO2e']]],Strom[[#This Row],[Scope 3 CO2e '[kg CO2e']]]))</f>
        <v/>
      </c>
      <c r="N68" s="158"/>
      <c r="O68" s="15" t="str">
        <f>IF(ISBLANK(Strom[[#This Row],[Emissionsquelle/Aktivität (Dropdown)]]),"",CONCATENATE(Strom[[#This Row],[Sektor_Thema]]," - ",Strom[[#This Row],[Emissionsquelle/Aktivität (Dropdown)]]))</f>
        <v/>
      </c>
      <c r="P68" s="15" t="str">
        <f>IF(ISBLANK(Strom[[#This Row],[Emissionsquelle/Aktivität (Dropdown)]]),"",AND(Strom[[#This Row],[Emissionsquelle/Aktivität (Dropdown)]]="Strombezug (Deutschland)",ISNUMBER(Strom[[#This Row],[Scope-2-Emissionsfaktor Vertragsstrommix
'[g CO2e/kWh']
(falls verfügbar)]])))</f>
        <v/>
      </c>
      <c r="Q68" s="15" t="str">
        <f>IFERROR(VLOOKUP(Strom[[#This Row],[Thema_Bezeichung]],EFs_Strom[],5,FALSE),"")</f>
        <v/>
      </c>
      <c r="R68" s="15" t="str">
        <f>IFERROR(VLOOKUP(Strom[[#This Row],[Thema_Bezeichung]],EFs_Strom[],6,FALSE),"")</f>
        <v/>
      </c>
      <c r="S68" s="15" t="str">
        <f>IFERROR(VLOOKUP(Strom[[#This Row],[Thema_Bezeichung]],EFs_Strom[],7,FALSE),"")</f>
        <v/>
      </c>
      <c r="T68" s="15" t="str">
        <f>IFERROR(VLOOKUP(Strom[[#This Row],[Thema_Bezeichung]],EFs_Strom[],8,FALSE),"")</f>
        <v/>
      </c>
      <c r="U68" s="15" t="str">
        <f>IFERROR(VLOOKUP(Strom[[#This Row],[Thema_Bezeichung]],EFs_Strom[],9,FALSE),"")</f>
        <v/>
      </c>
      <c r="V68" s="15" t="str">
        <f>IFERROR(VLOOKUP(Strom[[#This Row],[Thema_Bezeichung]],EFs_Strom[],10,FALSE),"")</f>
        <v/>
      </c>
      <c r="W68" s="15" t="str">
        <f>IFERROR(VLOOKUP(Strom[[#This Row],[Thema_Bezeichung]],EFs_Strom[],11,FALSE),"")</f>
        <v/>
      </c>
      <c r="X68" s="15" t="str">
        <f>IFERROR(VLOOKUP(Strom[[#This Row],[Thema_Bezeichung]],EFs_Strom[],12,FALSE),"")</f>
        <v/>
      </c>
      <c r="Y68" s="15" t="str">
        <f>IFERROR(VLOOKUP(Strom[[#This Row],[Thema_Bezeichung]],EFs_Strom[],13,FALSE),"")</f>
        <v/>
      </c>
      <c r="Z68" s="15" t="str">
        <f>IFERROR(VLOOKUP(Strom[[#This Row],[Thema_Bezeichung]],EFs_Strom[],14,FALSE),"")</f>
        <v/>
      </c>
      <c r="AA68" s="15" t="str">
        <f>IFERROR(VLOOKUP(Strom[[#This Row],[Thema_Bezeichung]],EFs_Strom[],15,FALSE),"")</f>
        <v/>
      </c>
      <c r="AB68" s="15" t="str">
        <f>IF(Strom[[#This Row],[Vertragsstrommix angegegeben?]]=TRUE,Strom[[#This Row],[Scope-2-Emissionsfaktor Vertragsstrommix
'[g CO2e/kWh']
(falls verfügbar)]]/1000,IFERROR(VLOOKUP(Strom[[#This Row],[Thema_Bezeichung]],EFs_Strom[],15,FALSE),""))</f>
        <v/>
      </c>
      <c r="AC68" s="15" t="str">
        <f>IFERROR(VLOOKUP(Strom[[#This Row],[Thema_Bezeichung]],EFs_Strom[],16,FALSE),"")</f>
        <v/>
      </c>
      <c r="AD68" s="15" t="str">
        <f>IFERROR(VLOOKUP(Strom[[#This Row],[Thema_Bezeichung]],EFs_Strom[],17,FALSE),"")</f>
        <v/>
      </c>
      <c r="AE68" s="15" t="str">
        <f>IFERROR(VLOOKUP(Strom[[#This Row],[Thema_Bezeichung]],EFs_Strom[],18,FALSE),"")</f>
        <v/>
      </c>
      <c r="AF68" s="15" t="str">
        <f>IFERROR(VLOOKUP(Strom[[#This Row],[Thema_Bezeichung]],EFs_Strom[],19,FALSE),"")</f>
        <v/>
      </c>
      <c r="AG68" s="15" t="str">
        <f>IFERROR(VLOOKUP(Strom[[#This Row],[Thema_Bezeichung]],EFs_Strom[],20,FALSE),"")</f>
        <v/>
      </c>
      <c r="AH68" s="15" t="str">
        <f>IFERROR(VLOOKUP(Strom[[#This Row],[Thema_Bezeichung]],EFs_Strom[],21,FALSE),"")</f>
        <v/>
      </c>
      <c r="AI68" s="15" t="str">
        <f>IFERROR(VLOOKUP(Strom[[#This Row],[Thema_Bezeichung]],EFs_Strom[],22,FALSE),"")</f>
        <v/>
      </c>
      <c r="AJ68" s="15" t="str">
        <f>IFERROR(VLOOKUP(Strom[[#This Row],[Thema_Bezeichung]],EFs_Strom[],23,FALSE),"")</f>
        <v/>
      </c>
      <c r="AK68" s="15" t="str">
        <f>IFERROR(VLOOKUP(Strom[[#This Row],[Thema_Bezeichung]],EFs_Strom[],24,FALSE),"")</f>
        <v/>
      </c>
      <c r="AL68" s="15" t="str">
        <f>IFERROR(VLOOKUP(Strom[[#This Row],[Thema_Bezeichung]],EFs_Strom[],30,FALSE),"")</f>
        <v/>
      </c>
      <c r="AM68" s="15" t="str">
        <f>IFERROR(Strom[[#This Row],[Wert 
(Zahl)]]*Strom[[#This Row],[EF Scope 1 CO2e
(kg CO2e/Einheit)]],"")</f>
        <v/>
      </c>
      <c r="AN68" s="15" t="str">
        <f>IFERROR(Strom[[#This Row],[Wert 
(Zahl)]]*Strom[[#This Row],[EF Scope 2 CO2e
(kg CO2e/Einheit)]],"")</f>
        <v/>
      </c>
      <c r="AO68" s="15" t="str">
        <f>IFERROR(Strom[[#This Row],[Wert 
(Zahl)]]*Strom[[#This Row],[EF Scope 3 CO2e
(kg CO2e/Einheit)]],"")</f>
        <v/>
      </c>
      <c r="AP68" s="15" t="str">
        <f>IFERROR(Strom[[#This Row],[Wert 
(Zahl)]]*Strom[[#This Row],[EF Scope 1 CO2 biogen
(kg CO2 /Einheit)]],"")</f>
        <v/>
      </c>
      <c r="AQ68" s="15" t="str">
        <f>IFERROR(Strom[[#This Row],[Wert 
(Zahl)]]*Strom[[#This Row],[Scope 2 Emissionsfaktor market-based '[kg CO2e/Einheit']]],"")</f>
        <v/>
      </c>
      <c r="AR68" s="15" t="str">
        <f>IFERROR(Strom[[#This Row],[Vermeidungsfaktor '[kg CO2e/Einheit']]]*Strom[[#This Row],[Wert 
(Zahl)]],"")</f>
        <v/>
      </c>
      <c r="AS68" s="15" t="str">
        <f>IFERROR(Strom[[#This Row],[Wert 
(Zahl)]]*Strom[[#This Row],[EF Scope 1 CO2
(kg CO2/Einheit)]],"")</f>
        <v/>
      </c>
      <c r="AT68" s="15" t="str">
        <f>IFERROR(Strom[[#This Row],[Wert 
(Zahl)]]*Strom[[#This Row],[EF Scope 1 CH4
(kg CH4/Einheit)]],"")</f>
        <v/>
      </c>
      <c r="AU68" s="15" t="str">
        <f>IFERROR(Strom[[#This Row],[Wert 
(Zahl)]]*Strom[[#This Row],[EF Scope 1 N2O
(kg N2O/Einheit)]],"")</f>
        <v/>
      </c>
      <c r="AV68" s="15" t="str">
        <f>IFERROR(Strom[[#This Row],[Wert 
(Zahl)]]*Strom[[#This Row],[EF Scope 1 HFCs
(kg HFCs/Einheit)]],"")</f>
        <v/>
      </c>
      <c r="AW68" s="15" t="str">
        <f>IFERROR(Strom[[#This Row],[Wert 
(Zahl)]]*Strom[[#This Row],[EF Scope 1 PFCs
(kg PFCs/Einheit)]],"")</f>
        <v/>
      </c>
      <c r="AX68" s="15" t="str">
        <f>IFERROR(Strom[[#This Row],[Wert 
(Zahl)]]*Strom[[#This Row],[EF Scope 1 SF6
(kg SF6/Einheit)]],"")</f>
        <v/>
      </c>
      <c r="AY68" s="15" t="str">
        <f>IFERROR(Strom[[#This Row],[Wert 
(Zahl)]]*Strom[[#This Row],[EF Scope 1 NF3
(kg NF3/Einheit)]],"")</f>
        <v/>
      </c>
      <c r="AZ68" s="15" t="str">
        <f>IFERROR(Strom[[#This Row],[Wert 
(Zahl)]]*Strom[[#This Row],[EF Scope 1 Nicht-Kyoto-Gase (kg Nicht-Kyoto-Gase/Einheit)]],"")</f>
        <v/>
      </c>
      <c r="BA68" s="15" t="str">
        <f>IFERROR(Strom[[#This Row],[Wert 
(Zahl)]]*Strom[[#This Row],[EF Scope 2 CO2
(kg CO2/Einheit)]],"")</f>
        <v/>
      </c>
      <c r="BB68" s="15" t="str">
        <f>IFERROR(Strom[[#This Row],[Wert 
(Zahl)]]*Strom[[#This Row],[EF Scope 2 CH4
(kg CH4/Einheit)]],"")</f>
        <v/>
      </c>
      <c r="BC68" s="15" t="str">
        <f>IFERROR(Strom[[#This Row],[Wert 
(Zahl)]]*Strom[[#This Row],[EF Scope 2 N2O
(kg N2O/Einheit)]],"")</f>
        <v/>
      </c>
      <c r="BD68" s="15" t="str">
        <f>IFERROR(Strom[[#This Row],[Wert 
(Zahl)]]*Strom[[#This Row],[EF Scope 2 HFCs
(kg HFCs/Einheit)]],"")</f>
        <v/>
      </c>
      <c r="BE68" s="15" t="str">
        <f>IFERROR(Strom[[#This Row],[Wert 
(Zahl)]]*Strom[[#This Row],[EF Scope 2 PFCs
(kg PFCs/Einheit)]],"")</f>
        <v/>
      </c>
      <c r="BF68" s="15" t="str">
        <f>IFERROR(Strom[[#This Row],[Wert 
(Zahl)]]*Strom[[#This Row],[EF Scope 2 SF6
(kg SF6/Einheit)]],"")</f>
        <v/>
      </c>
      <c r="BG68" s="15" t="str">
        <f>IFERROR(Strom[[#This Row],[Wert 
(Zahl)]]*Strom[[#This Row],[EF Scope 2 NF3
(kg NF3/Einheit)]],"")</f>
        <v/>
      </c>
      <c r="BH68" s="15" t="str">
        <f>IFERROR(Strom[[#This Row],[Wert 
(Zahl)]]*Strom[[#This Row],[EF Scope 2 Nicht-Kyoto-Gase (kg Nicht-Kyoto-Gase/Einheit)]],"")</f>
        <v/>
      </c>
      <c r="BI68" s="15" t="str">
        <f>IF(ISBLANK(Strom[[#This Row],[Wert 
(Zahl)]]),"",IFERROR(Strom[[#This Row],[Scope 1 CO2 '[kg CO2']]]*IFERROR(VLOOKUP("CO2",GWP_100[],3,FALSE),0),0))</f>
        <v/>
      </c>
      <c r="BJ68" s="15" t="str">
        <f>IF(ISBLANK(Strom[[#This Row],[Wert 
(Zahl)]]),"",IFERROR(Strom[[#This Row],[Scope 1 CH4 '[kg CH4']]]*IFERROR(VLOOKUP("CH4",GWP_100[],4,FALSE),0),0))</f>
        <v/>
      </c>
      <c r="BK68" s="15" t="str">
        <f>IF(ISBLANK(Strom[[#This Row],[Wert 
(Zahl)]]),"",IFERROR(Strom[[#This Row],[Scope 1 N2O '[kg N2O']]]*IFERROR(VLOOKUP("N2O",GWP_100[],5,FALSE),0),0))</f>
        <v/>
      </c>
      <c r="BL68" s="15" t="str">
        <f>IF(ISBLANK(Strom[[#This Row],[Wert 
(Zahl)]]),"",IFERROR(Strom[[#This Row],[Scope 1 HFCs '[kg HFCs']]]*IFERROR(VLOOKUP(Strom[[#This Row],[Emissionsquelle/Aktivität (Dropdown)]],GWP_100[],6,FALSE),0),0))</f>
        <v/>
      </c>
      <c r="BM68" s="15" t="str">
        <f>IF(ISBLANK(Strom[[#This Row],[Wert 
(Zahl)]]),"",IFERROR(Strom[[#This Row],[Scope 1 PFCs '[kg PFCs']]]*IFERROR(VLOOKUP(Strom[[#This Row],[Emissionsquelle/Aktivität (Dropdown)]],GWP_100[],7,FALSE),0),0))</f>
        <v/>
      </c>
      <c r="BN68" s="15" t="str">
        <f>IF(ISBLANK(Strom[[#This Row],[Wert 
(Zahl)]]),"",IFERROR(Strom[[#This Row],[Scope 1 SF6 '[kg SF6']]]*IFERROR(VLOOKUP("SF6",GWP_100[],8,FALSE),0),0))</f>
        <v/>
      </c>
      <c r="BO68" s="15" t="str">
        <f>IF(ISBLANK(Strom[[#This Row],[Wert 
(Zahl)]]),"",IFERROR(Strom[[#This Row],[Scope 1 NF3 '[kg NF3']]]*IFERROR(VLOOKUP("NF3",GWP_100[],9,FALSE),0),0))</f>
        <v/>
      </c>
      <c r="BP68" s="15" t="str">
        <f>IF(ISBLANK(Strom[[#This Row],[Wert 
(Zahl)]]),"",IFERROR(Strom[[#This Row],[Scope 1 non-Kyoto '[kg non-Kyoto gas']]]*IFERROR(VLOOKUP(Strom[[#This Row],[Emissionsquelle/Aktivität (Dropdown)]],GWP_100[],10,FALSE),0),0))</f>
        <v/>
      </c>
      <c r="BQ68" s="15" t="str">
        <f>IF(ISBLANK(Strom[[#This Row],[Wert 
(Zahl)]]),"",IFERROR(Strom[[#This Row],[Scope 2 CO2 '[kg CO2']]]*IFERROR(VLOOKUP("CO2",GWP_100[],3,FALSE),0),0))</f>
        <v/>
      </c>
      <c r="BR68" s="15" t="str">
        <f>IF(ISBLANK(Strom[[#This Row],[Wert 
(Zahl)]]),"",IFERROR(Strom[[#This Row],[Scope 2 CH4 '[kg CH4']]]*IFERROR(VLOOKUP("CH4",GWP_100[],4,FALSE),0),0))</f>
        <v/>
      </c>
      <c r="BS68" s="15" t="str">
        <f>IF(ISBLANK(Strom[[#This Row],[Wert 
(Zahl)]]),"",IFERROR(Strom[[#This Row],[Scope 2 N2O '[kg N2O']]]*IFERROR(VLOOKUP("N2O",GWP_100[],5,FALSE),0),0))</f>
        <v/>
      </c>
      <c r="BT68" s="15" t="str">
        <f>IF(ISBLANK(Strom[[#This Row],[Wert 
(Zahl)]]),"",IFERROR(Strom[[#This Row],[Scope 2 HFCs '[kg HFCs']]]*IFERROR(VLOOKUP(Strom[[#This Row],[Emissionsquelle/Aktivität (Dropdown)]],GWP_100[],6,FALSE),0),0))</f>
        <v/>
      </c>
      <c r="BU68" s="15" t="str">
        <f>IF(ISBLANK(Strom[[#This Row],[Wert 
(Zahl)]]),"",IFERROR(Strom[[#This Row],[Scope 2 PFCs '[kg PFCs']]]*IFERROR(VLOOKUP(Strom[[#This Row],[Emissionsquelle/Aktivität (Dropdown)]],GWP_100[],7,FALSE),0),0))</f>
        <v/>
      </c>
      <c r="BV68" s="15" t="str">
        <f>IF(ISBLANK(Strom[[#This Row],[Wert 
(Zahl)]]),"",IFERROR(Strom[[#This Row],[Scope 2 SF6 '[kg SF6']]]*IFERROR(VLOOKUP("SF6",GWP_100[],8,FALSE),0),0))</f>
        <v/>
      </c>
      <c r="BW68" s="15" t="str">
        <f>IF(ISBLANK(Strom[[#This Row],[Wert 
(Zahl)]]),"",IFERROR(Strom[[#This Row],[Scope 2 NF3 '[kg NF3']]]*IFERROR(VLOOKUP("NF3",GWP_100[],9,FALSE),0),0))</f>
        <v/>
      </c>
      <c r="BX68" s="15" t="str">
        <f>IF(ISBLANK(Strom[[#This Row],[Wert 
(Zahl)]]),"",IFERROR(Strom[[#This Row],[Scope 2 non-Kyoto '[kg non-Kyoto gas']]]*IFERROR(VLOOKUP(Strom[[#This Row],[Emissionsquelle/Aktivität (Dropdown)]],GWP_100[],10,FALSE),0),0))</f>
        <v/>
      </c>
    </row>
    <row r="69" spans="2:76" s="89" customFormat="1" x14ac:dyDescent="0.35">
      <c r="B69" s="604"/>
      <c r="C69" s="10" t="str">
        <f t="shared" si="1"/>
        <v>Strom</v>
      </c>
      <c r="D69" s="90"/>
      <c r="E69" s="90"/>
      <c r="F69" s="288"/>
      <c r="G69" s="10" t="str">
        <f>IFERROR(VLOOKUP(Strom[[#This Row],[Thema_Bezeichung]],EFs_Strom[],4,FALSE),"")</f>
        <v/>
      </c>
      <c r="H69" s="90"/>
      <c r="I69" s="90"/>
      <c r="J69" s="90"/>
      <c r="K69" s="90"/>
      <c r="L69" s="289" t="str">
        <f>IF(ISBLANK(Strom[[#This Row],[Wert 
(Zahl)]]),"", SUM(Strom[[#This Row],[Scope 1 CO2e '[kg CO2e']]],Strom[[#This Row],[Scope 2 CO2e '[kg CO2e']]],Strom[[#This Row],[Scope 3 CO2e '[kg CO2e']]]))</f>
        <v/>
      </c>
      <c r="M69" s="289" t="str">
        <f>IF(OR(ISBLANK(Strom[[#This Row],[Wert 
(Zahl)]]),Strom[[#This Row],[Emissionsquelle/Aktivität (Dropdown)]]&lt;&gt;"Strombezug (Deutschland)"),"", SUM(Strom[[#This Row],[Scope 1 CO2e '[kg CO2e']]],Strom[[#This Row],[Scope 2 CO2e market-based '[kg CO2e']]],Strom[[#This Row],[Scope 3 CO2e '[kg CO2e']]]))</f>
        <v/>
      </c>
      <c r="N69" s="158"/>
      <c r="O69" s="15" t="str">
        <f>IF(ISBLANK(Strom[[#This Row],[Emissionsquelle/Aktivität (Dropdown)]]),"",CONCATENATE(Strom[[#This Row],[Sektor_Thema]]," - ",Strom[[#This Row],[Emissionsquelle/Aktivität (Dropdown)]]))</f>
        <v/>
      </c>
      <c r="P69" s="15" t="str">
        <f>IF(ISBLANK(Strom[[#This Row],[Emissionsquelle/Aktivität (Dropdown)]]),"",AND(Strom[[#This Row],[Emissionsquelle/Aktivität (Dropdown)]]="Strombezug (Deutschland)",ISNUMBER(Strom[[#This Row],[Scope-2-Emissionsfaktor Vertragsstrommix
'[g CO2e/kWh']
(falls verfügbar)]])))</f>
        <v/>
      </c>
      <c r="Q69" s="15" t="str">
        <f>IFERROR(VLOOKUP(Strom[[#This Row],[Thema_Bezeichung]],EFs_Strom[],5,FALSE),"")</f>
        <v/>
      </c>
      <c r="R69" s="15" t="str">
        <f>IFERROR(VLOOKUP(Strom[[#This Row],[Thema_Bezeichung]],EFs_Strom[],6,FALSE),"")</f>
        <v/>
      </c>
      <c r="S69" s="15" t="str">
        <f>IFERROR(VLOOKUP(Strom[[#This Row],[Thema_Bezeichung]],EFs_Strom[],7,FALSE),"")</f>
        <v/>
      </c>
      <c r="T69" s="15" t="str">
        <f>IFERROR(VLOOKUP(Strom[[#This Row],[Thema_Bezeichung]],EFs_Strom[],8,FALSE),"")</f>
        <v/>
      </c>
      <c r="U69" s="15" t="str">
        <f>IFERROR(VLOOKUP(Strom[[#This Row],[Thema_Bezeichung]],EFs_Strom[],9,FALSE),"")</f>
        <v/>
      </c>
      <c r="V69" s="15" t="str">
        <f>IFERROR(VLOOKUP(Strom[[#This Row],[Thema_Bezeichung]],EFs_Strom[],10,FALSE),"")</f>
        <v/>
      </c>
      <c r="W69" s="15" t="str">
        <f>IFERROR(VLOOKUP(Strom[[#This Row],[Thema_Bezeichung]],EFs_Strom[],11,FALSE),"")</f>
        <v/>
      </c>
      <c r="X69" s="15" t="str">
        <f>IFERROR(VLOOKUP(Strom[[#This Row],[Thema_Bezeichung]],EFs_Strom[],12,FALSE),"")</f>
        <v/>
      </c>
      <c r="Y69" s="15" t="str">
        <f>IFERROR(VLOOKUP(Strom[[#This Row],[Thema_Bezeichung]],EFs_Strom[],13,FALSE),"")</f>
        <v/>
      </c>
      <c r="Z69" s="15" t="str">
        <f>IFERROR(VLOOKUP(Strom[[#This Row],[Thema_Bezeichung]],EFs_Strom[],14,FALSE),"")</f>
        <v/>
      </c>
      <c r="AA69" s="15" t="str">
        <f>IFERROR(VLOOKUP(Strom[[#This Row],[Thema_Bezeichung]],EFs_Strom[],15,FALSE),"")</f>
        <v/>
      </c>
      <c r="AB69" s="15" t="str">
        <f>IF(Strom[[#This Row],[Vertragsstrommix angegegeben?]]=TRUE,Strom[[#This Row],[Scope-2-Emissionsfaktor Vertragsstrommix
'[g CO2e/kWh']
(falls verfügbar)]]/1000,IFERROR(VLOOKUP(Strom[[#This Row],[Thema_Bezeichung]],EFs_Strom[],15,FALSE),""))</f>
        <v/>
      </c>
      <c r="AC69" s="15" t="str">
        <f>IFERROR(VLOOKUP(Strom[[#This Row],[Thema_Bezeichung]],EFs_Strom[],16,FALSE),"")</f>
        <v/>
      </c>
      <c r="AD69" s="15" t="str">
        <f>IFERROR(VLOOKUP(Strom[[#This Row],[Thema_Bezeichung]],EFs_Strom[],17,FALSE),"")</f>
        <v/>
      </c>
      <c r="AE69" s="15" t="str">
        <f>IFERROR(VLOOKUP(Strom[[#This Row],[Thema_Bezeichung]],EFs_Strom[],18,FALSE),"")</f>
        <v/>
      </c>
      <c r="AF69" s="15" t="str">
        <f>IFERROR(VLOOKUP(Strom[[#This Row],[Thema_Bezeichung]],EFs_Strom[],19,FALSE),"")</f>
        <v/>
      </c>
      <c r="AG69" s="15" t="str">
        <f>IFERROR(VLOOKUP(Strom[[#This Row],[Thema_Bezeichung]],EFs_Strom[],20,FALSE),"")</f>
        <v/>
      </c>
      <c r="AH69" s="15" t="str">
        <f>IFERROR(VLOOKUP(Strom[[#This Row],[Thema_Bezeichung]],EFs_Strom[],21,FALSE),"")</f>
        <v/>
      </c>
      <c r="AI69" s="15" t="str">
        <f>IFERROR(VLOOKUP(Strom[[#This Row],[Thema_Bezeichung]],EFs_Strom[],22,FALSE),"")</f>
        <v/>
      </c>
      <c r="AJ69" s="15" t="str">
        <f>IFERROR(VLOOKUP(Strom[[#This Row],[Thema_Bezeichung]],EFs_Strom[],23,FALSE),"")</f>
        <v/>
      </c>
      <c r="AK69" s="15" t="str">
        <f>IFERROR(VLOOKUP(Strom[[#This Row],[Thema_Bezeichung]],EFs_Strom[],24,FALSE),"")</f>
        <v/>
      </c>
      <c r="AL69" s="15" t="str">
        <f>IFERROR(VLOOKUP(Strom[[#This Row],[Thema_Bezeichung]],EFs_Strom[],30,FALSE),"")</f>
        <v/>
      </c>
      <c r="AM69" s="15" t="str">
        <f>IFERROR(Strom[[#This Row],[Wert 
(Zahl)]]*Strom[[#This Row],[EF Scope 1 CO2e
(kg CO2e/Einheit)]],"")</f>
        <v/>
      </c>
      <c r="AN69" s="15" t="str">
        <f>IFERROR(Strom[[#This Row],[Wert 
(Zahl)]]*Strom[[#This Row],[EF Scope 2 CO2e
(kg CO2e/Einheit)]],"")</f>
        <v/>
      </c>
      <c r="AO69" s="15" t="str">
        <f>IFERROR(Strom[[#This Row],[Wert 
(Zahl)]]*Strom[[#This Row],[EF Scope 3 CO2e
(kg CO2e/Einheit)]],"")</f>
        <v/>
      </c>
      <c r="AP69" s="15" t="str">
        <f>IFERROR(Strom[[#This Row],[Wert 
(Zahl)]]*Strom[[#This Row],[EF Scope 1 CO2 biogen
(kg CO2 /Einheit)]],"")</f>
        <v/>
      </c>
      <c r="AQ69" s="15" t="str">
        <f>IFERROR(Strom[[#This Row],[Wert 
(Zahl)]]*Strom[[#This Row],[Scope 2 Emissionsfaktor market-based '[kg CO2e/Einheit']]],"")</f>
        <v/>
      </c>
      <c r="AR69" s="15" t="str">
        <f>IFERROR(Strom[[#This Row],[Vermeidungsfaktor '[kg CO2e/Einheit']]]*Strom[[#This Row],[Wert 
(Zahl)]],"")</f>
        <v/>
      </c>
      <c r="AS69" s="15" t="str">
        <f>IFERROR(Strom[[#This Row],[Wert 
(Zahl)]]*Strom[[#This Row],[EF Scope 1 CO2
(kg CO2/Einheit)]],"")</f>
        <v/>
      </c>
      <c r="AT69" s="15" t="str">
        <f>IFERROR(Strom[[#This Row],[Wert 
(Zahl)]]*Strom[[#This Row],[EF Scope 1 CH4
(kg CH4/Einheit)]],"")</f>
        <v/>
      </c>
      <c r="AU69" s="15" t="str">
        <f>IFERROR(Strom[[#This Row],[Wert 
(Zahl)]]*Strom[[#This Row],[EF Scope 1 N2O
(kg N2O/Einheit)]],"")</f>
        <v/>
      </c>
      <c r="AV69" s="15" t="str">
        <f>IFERROR(Strom[[#This Row],[Wert 
(Zahl)]]*Strom[[#This Row],[EF Scope 1 HFCs
(kg HFCs/Einheit)]],"")</f>
        <v/>
      </c>
      <c r="AW69" s="15" t="str">
        <f>IFERROR(Strom[[#This Row],[Wert 
(Zahl)]]*Strom[[#This Row],[EF Scope 1 PFCs
(kg PFCs/Einheit)]],"")</f>
        <v/>
      </c>
      <c r="AX69" s="15" t="str">
        <f>IFERROR(Strom[[#This Row],[Wert 
(Zahl)]]*Strom[[#This Row],[EF Scope 1 SF6
(kg SF6/Einheit)]],"")</f>
        <v/>
      </c>
      <c r="AY69" s="15" t="str">
        <f>IFERROR(Strom[[#This Row],[Wert 
(Zahl)]]*Strom[[#This Row],[EF Scope 1 NF3
(kg NF3/Einheit)]],"")</f>
        <v/>
      </c>
      <c r="AZ69" s="15" t="str">
        <f>IFERROR(Strom[[#This Row],[Wert 
(Zahl)]]*Strom[[#This Row],[EF Scope 1 Nicht-Kyoto-Gase (kg Nicht-Kyoto-Gase/Einheit)]],"")</f>
        <v/>
      </c>
      <c r="BA69" s="15" t="str">
        <f>IFERROR(Strom[[#This Row],[Wert 
(Zahl)]]*Strom[[#This Row],[EF Scope 2 CO2
(kg CO2/Einheit)]],"")</f>
        <v/>
      </c>
      <c r="BB69" s="15" t="str">
        <f>IFERROR(Strom[[#This Row],[Wert 
(Zahl)]]*Strom[[#This Row],[EF Scope 2 CH4
(kg CH4/Einheit)]],"")</f>
        <v/>
      </c>
      <c r="BC69" s="15" t="str">
        <f>IFERROR(Strom[[#This Row],[Wert 
(Zahl)]]*Strom[[#This Row],[EF Scope 2 N2O
(kg N2O/Einheit)]],"")</f>
        <v/>
      </c>
      <c r="BD69" s="15" t="str">
        <f>IFERROR(Strom[[#This Row],[Wert 
(Zahl)]]*Strom[[#This Row],[EF Scope 2 HFCs
(kg HFCs/Einheit)]],"")</f>
        <v/>
      </c>
      <c r="BE69" s="15" t="str">
        <f>IFERROR(Strom[[#This Row],[Wert 
(Zahl)]]*Strom[[#This Row],[EF Scope 2 PFCs
(kg PFCs/Einheit)]],"")</f>
        <v/>
      </c>
      <c r="BF69" s="15" t="str">
        <f>IFERROR(Strom[[#This Row],[Wert 
(Zahl)]]*Strom[[#This Row],[EF Scope 2 SF6
(kg SF6/Einheit)]],"")</f>
        <v/>
      </c>
      <c r="BG69" s="15" t="str">
        <f>IFERROR(Strom[[#This Row],[Wert 
(Zahl)]]*Strom[[#This Row],[EF Scope 2 NF3
(kg NF3/Einheit)]],"")</f>
        <v/>
      </c>
      <c r="BH69" s="15" t="str">
        <f>IFERROR(Strom[[#This Row],[Wert 
(Zahl)]]*Strom[[#This Row],[EF Scope 2 Nicht-Kyoto-Gase (kg Nicht-Kyoto-Gase/Einheit)]],"")</f>
        <v/>
      </c>
      <c r="BI69" s="15" t="str">
        <f>IF(ISBLANK(Strom[[#This Row],[Wert 
(Zahl)]]),"",IFERROR(Strom[[#This Row],[Scope 1 CO2 '[kg CO2']]]*IFERROR(VLOOKUP("CO2",GWP_100[],3,FALSE),0),0))</f>
        <v/>
      </c>
      <c r="BJ69" s="15" t="str">
        <f>IF(ISBLANK(Strom[[#This Row],[Wert 
(Zahl)]]),"",IFERROR(Strom[[#This Row],[Scope 1 CH4 '[kg CH4']]]*IFERROR(VLOOKUP("CH4",GWP_100[],4,FALSE),0),0))</f>
        <v/>
      </c>
      <c r="BK69" s="15" t="str">
        <f>IF(ISBLANK(Strom[[#This Row],[Wert 
(Zahl)]]),"",IFERROR(Strom[[#This Row],[Scope 1 N2O '[kg N2O']]]*IFERROR(VLOOKUP("N2O",GWP_100[],5,FALSE),0),0))</f>
        <v/>
      </c>
      <c r="BL69" s="15" t="str">
        <f>IF(ISBLANK(Strom[[#This Row],[Wert 
(Zahl)]]),"",IFERROR(Strom[[#This Row],[Scope 1 HFCs '[kg HFCs']]]*IFERROR(VLOOKUP(Strom[[#This Row],[Emissionsquelle/Aktivität (Dropdown)]],GWP_100[],6,FALSE),0),0))</f>
        <v/>
      </c>
      <c r="BM69" s="15" t="str">
        <f>IF(ISBLANK(Strom[[#This Row],[Wert 
(Zahl)]]),"",IFERROR(Strom[[#This Row],[Scope 1 PFCs '[kg PFCs']]]*IFERROR(VLOOKUP(Strom[[#This Row],[Emissionsquelle/Aktivität (Dropdown)]],GWP_100[],7,FALSE),0),0))</f>
        <v/>
      </c>
      <c r="BN69" s="15" t="str">
        <f>IF(ISBLANK(Strom[[#This Row],[Wert 
(Zahl)]]),"",IFERROR(Strom[[#This Row],[Scope 1 SF6 '[kg SF6']]]*IFERROR(VLOOKUP("SF6",GWP_100[],8,FALSE),0),0))</f>
        <v/>
      </c>
      <c r="BO69" s="15" t="str">
        <f>IF(ISBLANK(Strom[[#This Row],[Wert 
(Zahl)]]),"",IFERROR(Strom[[#This Row],[Scope 1 NF3 '[kg NF3']]]*IFERROR(VLOOKUP("NF3",GWP_100[],9,FALSE),0),0))</f>
        <v/>
      </c>
      <c r="BP69" s="15" t="str">
        <f>IF(ISBLANK(Strom[[#This Row],[Wert 
(Zahl)]]),"",IFERROR(Strom[[#This Row],[Scope 1 non-Kyoto '[kg non-Kyoto gas']]]*IFERROR(VLOOKUP(Strom[[#This Row],[Emissionsquelle/Aktivität (Dropdown)]],GWP_100[],10,FALSE),0),0))</f>
        <v/>
      </c>
      <c r="BQ69" s="15" t="str">
        <f>IF(ISBLANK(Strom[[#This Row],[Wert 
(Zahl)]]),"",IFERROR(Strom[[#This Row],[Scope 2 CO2 '[kg CO2']]]*IFERROR(VLOOKUP("CO2",GWP_100[],3,FALSE),0),0))</f>
        <v/>
      </c>
      <c r="BR69" s="15" t="str">
        <f>IF(ISBLANK(Strom[[#This Row],[Wert 
(Zahl)]]),"",IFERROR(Strom[[#This Row],[Scope 2 CH4 '[kg CH4']]]*IFERROR(VLOOKUP("CH4",GWP_100[],4,FALSE),0),0))</f>
        <v/>
      </c>
      <c r="BS69" s="15" t="str">
        <f>IF(ISBLANK(Strom[[#This Row],[Wert 
(Zahl)]]),"",IFERROR(Strom[[#This Row],[Scope 2 N2O '[kg N2O']]]*IFERROR(VLOOKUP("N2O",GWP_100[],5,FALSE),0),0))</f>
        <v/>
      </c>
      <c r="BT69" s="15" t="str">
        <f>IF(ISBLANK(Strom[[#This Row],[Wert 
(Zahl)]]),"",IFERROR(Strom[[#This Row],[Scope 2 HFCs '[kg HFCs']]]*IFERROR(VLOOKUP(Strom[[#This Row],[Emissionsquelle/Aktivität (Dropdown)]],GWP_100[],6,FALSE),0),0))</f>
        <v/>
      </c>
      <c r="BU69" s="15" t="str">
        <f>IF(ISBLANK(Strom[[#This Row],[Wert 
(Zahl)]]),"",IFERROR(Strom[[#This Row],[Scope 2 PFCs '[kg PFCs']]]*IFERROR(VLOOKUP(Strom[[#This Row],[Emissionsquelle/Aktivität (Dropdown)]],GWP_100[],7,FALSE),0),0))</f>
        <v/>
      </c>
      <c r="BV69" s="15" t="str">
        <f>IF(ISBLANK(Strom[[#This Row],[Wert 
(Zahl)]]),"",IFERROR(Strom[[#This Row],[Scope 2 SF6 '[kg SF6']]]*IFERROR(VLOOKUP("SF6",GWP_100[],8,FALSE),0),0))</f>
        <v/>
      </c>
      <c r="BW69" s="15" t="str">
        <f>IF(ISBLANK(Strom[[#This Row],[Wert 
(Zahl)]]),"",IFERROR(Strom[[#This Row],[Scope 2 NF3 '[kg NF3']]]*IFERROR(VLOOKUP("NF3",GWP_100[],9,FALSE),0),0))</f>
        <v/>
      </c>
      <c r="BX69" s="15" t="str">
        <f>IF(ISBLANK(Strom[[#This Row],[Wert 
(Zahl)]]),"",IFERROR(Strom[[#This Row],[Scope 2 non-Kyoto '[kg non-Kyoto gas']]]*IFERROR(VLOOKUP(Strom[[#This Row],[Emissionsquelle/Aktivität (Dropdown)]],GWP_100[],10,FALSE),0),0))</f>
        <v/>
      </c>
    </row>
    <row r="70" spans="2:76" s="89" customFormat="1" x14ac:dyDescent="0.35">
      <c r="B70" s="604"/>
      <c r="C70" s="10" t="str">
        <f t="shared" si="1"/>
        <v>Strom</v>
      </c>
      <c r="D70" s="90"/>
      <c r="E70" s="90"/>
      <c r="F70" s="288"/>
      <c r="G70" s="10" t="str">
        <f>IFERROR(VLOOKUP(Strom[[#This Row],[Thema_Bezeichung]],EFs_Strom[],4,FALSE),"")</f>
        <v/>
      </c>
      <c r="H70" s="90"/>
      <c r="I70" s="90"/>
      <c r="J70" s="90"/>
      <c r="K70" s="90"/>
      <c r="L70" s="289" t="str">
        <f>IF(ISBLANK(Strom[[#This Row],[Wert 
(Zahl)]]),"", SUM(Strom[[#This Row],[Scope 1 CO2e '[kg CO2e']]],Strom[[#This Row],[Scope 2 CO2e '[kg CO2e']]],Strom[[#This Row],[Scope 3 CO2e '[kg CO2e']]]))</f>
        <v/>
      </c>
      <c r="M70" s="289" t="str">
        <f>IF(OR(ISBLANK(Strom[[#This Row],[Wert 
(Zahl)]]),Strom[[#This Row],[Emissionsquelle/Aktivität (Dropdown)]]&lt;&gt;"Strombezug (Deutschland)"),"", SUM(Strom[[#This Row],[Scope 1 CO2e '[kg CO2e']]],Strom[[#This Row],[Scope 2 CO2e market-based '[kg CO2e']]],Strom[[#This Row],[Scope 3 CO2e '[kg CO2e']]]))</f>
        <v/>
      </c>
      <c r="N70" s="158"/>
      <c r="O70" s="15" t="str">
        <f>IF(ISBLANK(Strom[[#This Row],[Emissionsquelle/Aktivität (Dropdown)]]),"",CONCATENATE(Strom[[#This Row],[Sektor_Thema]]," - ",Strom[[#This Row],[Emissionsquelle/Aktivität (Dropdown)]]))</f>
        <v/>
      </c>
      <c r="P70" s="15" t="str">
        <f>IF(ISBLANK(Strom[[#This Row],[Emissionsquelle/Aktivität (Dropdown)]]),"",AND(Strom[[#This Row],[Emissionsquelle/Aktivität (Dropdown)]]="Strombezug (Deutschland)",ISNUMBER(Strom[[#This Row],[Scope-2-Emissionsfaktor Vertragsstrommix
'[g CO2e/kWh']
(falls verfügbar)]])))</f>
        <v/>
      </c>
      <c r="Q70" s="15" t="str">
        <f>IFERROR(VLOOKUP(Strom[[#This Row],[Thema_Bezeichung]],EFs_Strom[],5,FALSE),"")</f>
        <v/>
      </c>
      <c r="R70" s="15" t="str">
        <f>IFERROR(VLOOKUP(Strom[[#This Row],[Thema_Bezeichung]],EFs_Strom[],6,FALSE),"")</f>
        <v/>
      </c>
      <c r="S70" s="15" t="str">
        <f>IFERROR(VLOOKUP(Strom[[#This Row],[Thema_Bezeichung]],EFs_Strom[],7,FALSE),"")</f>
        <v/>
      </c>
      <c r="T70" s="15" t="str">
        <f>IFERROR(VLOOKUP(Strom[[#This Row],[Thema_Bezeichung]],EFs_Strom[],8,FALSE),"")</f>
        <v/>
      </c>
      <c r="U70" s="15" t="str">
        <f>IFERROR(VLOOKUP(Strom[[#This Row],[Thema_Bezeichung]],EFs_Strom[],9,FALSE),"")</f>
        <v/>
      </c>
      <c r="V70" s="15" t="str">
        <f>IFERROR(VLOOKUP(Strom[[#This Row],[Thema_Bezeichung]],EFs_Strom[],10,FALSE),"")</f>
        <v/>
      </c>
      <c r="W70" s="15" t="str">
        <f>IFERROR(VLOOKUP(Strom[[#This Row],[Thema_Bezeichung]],EFs_Strom[],11,FALSE),"")</f>
        <v/>
      </c>
      <c r="X70" s="15" t="str">
        <f>IFERROR(VLOOKUP(Strom[[#This Row],[Thema_Bezeichung]],EFs_Strom[],12,FALSE),"")</f>
        <v/>
      </c>
      <c r="Y70" s="15" t="str">
        <f>IFERROR(VLOOKUP(Strom[[#This Row],[Thema_Bezeichung]],EFs_Strom[],13,FALSE),"")</f>
        <v/>
      </c>
      <c r="Z70" s="15" t="str">
        <f>IFERROR(VLOOKUP(Strom[[#This Row],[Thema_Bezeichung]],EFs_Strom[],14,FALSE),"")</f>
        <v/>
      </c>
      <c r="AA70" s="15" t="str">
        <f>IFERROR(VLOOKUP(Strom[[#This Row],[Thema_Bezeichung]],EFs_Strom[],15,FALSE),"")</f>
        <v/>
      </c>
      <c r="AB70" s="15" t="str">
        <f>IF(Strom[[#This Row],[Vertragsstrommix angegegeben?]]=TRUE,Strom[[#This Row],[Scope-2-Emissionsfaktor Vertragsstrommix
'[g CO2e/kWh']
(falls verfügbar)]]/1000,IFERROR(VLOOKUP(Strom[[#This Row],[Thema_Bezeichung]],EFs_Strom[],15,FALSE),""))</f>
        <v/>
      </c>
      <c r="AC70" s="15" t="str">
        <f>IFERROR(VLOOKUP(Strom[[#This Row],[Thema_Bezeichung]],EFs_Strom[],16,FALSE),"")</f>
        <v/>
      </c>
      <c r="AD70" s="15" t="str">
        <f>IFERROR(VLOOKUP(Strom[[#This Row],[Thema_Bezeichung]],EFs_Strom[],17,FALSE),"")</f>
        <v/>
      </c>
      <c r="AE70" s="15" t="str">
        <f>IFERROR(VLOOKUP(Strom[[#This Row],[Thema_Bezeichung]],EFs_Strom[],18,FALSE),"")</f>
        <v/>
      </c>
      <c r="AF70" s="15" t="str">
        <f>IFERROR(VLOOKUP(Strom[[#This Row],[Thema_Bezeichung]],EFs_Strom[],19,FALSE),"")</f>
        <v/>
      </c>
      <c r="AG70" s="15" t="str">
        <f>IFERROR(VLOOKUP(Strom[[#This Row],[Thema_Bezeichung]],EFs_Strom[],20,FALSE),"")</f>
        <v/>
      </c>
      <c r="AH70" s="15" t="str">
        <f>IFERROR(VLOOKUP(Strom[[#This Row],[Thema_Bezeichung]],EFs_Strom[],21,FALSE),"")</f>
        <v/>
      </c>
      <c r="AI70" s="15" t="str">
        <f>IFERROR(VLOOKUP(Strom[[#This Row],[Thema_Bezeichung]],EFs_Strom[],22,FALSE),"")</f>
        <v/>
      </c>
      <c r="AJ70" s="15" t="str">
        <f>IFERROR(VLOOKUP(Strom[[#This Row],[Thema_Bezeichung]],EFs_Strom[],23,FALSE),"")</f>
        <v/>
      </c>
      <c r="AK70" s="15" t="str">
        <f>IFERROR(VLOOKUP(Strom[[#This Row],[Thema_Bezeichung]],EFs_Strom[],24,FALSE),"")</f>
        <v/>
      </c>
      <c r="AL70" s="15" t="str">
        <f>IFERROR(VLOOKUP(Strom[[#This Row],[Thema_Bezeichung]],EFs_Strom[],30,FALSE),"")</f>
        <v/>
      </c>
      <c r="AM70" s="15" t="str">
        <f>IFERROR(Strom[[#This Row],[Wert 
(Zahl)]]*Strom[[#This Row],[EF Scope 1 CO2e
(kg CO2e/Einheit)]],"")</f>
        <v/>
      </c>
      <c r="AN70" s="15" t="str">
        <f>IFERROR(Strom[[#This Row],[Wert 
(Zahl)]]*Strom[[#This Row],[EF Scope 2 CO2e
(kg CO2e/Einheit)]],"")</f>
        <v/>
      </c>
      <c r="AO70" s="15" t="str">
        <f>IFERROR(Strom[[#This Row],[Wert 
(Zahl)]]*Strom[[#This Row],[EF Scope 3 CO2e
(kg CO2e/Einheit)]],"")</f>
        <v/>
      </c>
      <c r="AP70" s="15" t="str">
        <f>IFERROR(Strom[[#This Row],[Wert 
(Zahl)]]*Strom[[#This Row],[EF Scope 1 CO2 biogen
(kg CO2 /Einheit)]],"")</f>
        <v/>
      </c>
      <c r="AQ70" s="15" t="str">
        <f>IFERROR(Strom[[#This Row],[Wert 
(Zahl)]]*Strom[[#This Row],[Scope 2 Emissionsfaktor market-based '[kg CO2e/Einheit']]],"")</f>
        <v/>
      </c>
      <c r="AR70" s="15" t="str">
        <f>IFERROR(Strom[[#This Row],[Vermeidungsfaktor '[kg CO2e/Einheit']]]*Strom[[#This Row],[Wert 
(Zahl)]],"")</f>
        <v/>
      </c>
      <c r="AS70" s="15" t="str">
        <f>IFERROR(Strom[[#This Row],[Wert 
(Zahl)]]*Strom[[#This Row],[EF Scope 1 CO2
(kg CO2/Einheit)]],"")</f>
        <v/>
      </c>
      <c r="AT70" s="15" t="str">
        <f>IFERROR(Strom[[#This Row],[Wert 
(Zahl)]]*Strom[[#This Row],[EF Scope 1 CH4
(kg CH4/Einheit)]],"")</f>
        <v/>
      </c>
      <c r="AU70" s="15" t="str">
        <f>IFERROR(Strom[[#This Row],[Wert 
(Zahl)]]*Strom[[#This Row],[EF Scope 1 N2O
(kg N2O/Einheit)]],"")</f>
        <v/>
      </c>
      <c r="AV70" s="15" t="str">
        <f>IFERROR(Strom[[#This Row],[Wert 
(Zahl)]]*Strom[[#This Row],[EF Scope 1 HFCs
(kg HFCs/Einheit)]],"")</f>
        <v/>
      </c>
      <c r="AW70" s="15" t="str">
        <f>IFERROR(Strom[[#This Row],[Wert 
(Zahl)]]*Strom[[#This Row],[EF Scope 1 PFCs
(kg PFCs/Einheit)]],"")</f>
        <v/>
      </c>
      <c r="AX70" s="15" t="str">
        <f>IFERROR(Strom[[#This Row],[Wert 
(Zahl)]]*Strom[[#This Row],[EF Scope 1 SF6
(kg SF6/Einheit)]],"")</f>
        <v/>
      </c>
      <c r="AY70" s="15" t="str">
        <f>IFERROR(Strom[[#This Row],[Wert 
(Zahl)]]*Strom[[#This Row],[EF Scope 1 NF3
(kg NF3/Einheit)]],"")</f>
        <v/>
      </c>
      <c r="AZ70" s="15" t="str">
        <f>IFERROR(Strom[[#This Row],[Wert 
(Zahl)]]*Strom[[#This Row],[EF Scope 1 Nicht-Kyoto-Gase (kg Nicht-Kyoto-Gase/Einheit)]],"")</f>
        <v/>
      </c>
      <c r="BA70" s="15" t="str">
        <f>IFERROR(Strom[[#This Row],[Wert 
(Zahl)]]*Strom[[#This Row],[EF Scope 2 CO2
(kg CO2/Einheit)]],"")</f>
        <v/>
      </c>
      <c r="BB70" s="15" t="str">
        <f>IFERROR(Strom[[#This Row],[Wert 
(Zahl)]]*Strom[[#This Row],[EF Scope 2 CH4
(kg CH4/Einheit)]],"")</f>
        <v/>
      </c>
      <c r="BC70" s="15" t="str">
        <f>IFERROR(Strom[[#This Row],[Wert 
(Zahl)]]*Strom[[#This Row],[EF Scope 2 N2O
(kg N2O/Einheit)]],"")</f>
        <v/>
      </c>
      <c r="BD70" s="15" t="str">
        <f>IFERROR(Strom[[#This Row],[Wert 
(Zahl)]]*Strom[[#This Row],[EF Scope 2 HFCs
(kg HFCs/Einheit)]],"")</f>
        <v/>
      </c>
      <c r="BE70" s="15" t="str">
        <f>IFERROR(Strom[[#This Row],[Wert 
(Zahl)]]*Strom[[#This Row],[EF Scope 2 PFCs
(kg PFCs/Einheit)]],"")</f>
        <v/>
      </c>
      <c r="BF70" s="15" t="str">
        <f>IFERROR(Strom[[#This Row],[Wert 
(Zahl)]]*Strom[[#This Row],[EF Scope 2 SF6
(kg SF6/Einheit)]],"")</f>
        <v/>
      </c>
      <c r="BG70" s="15" t="str">
        <f>IFERROR(Strom[[#This Row],[Wert 
(Zahl)]]*Strom[[#This Row],[EF Scope 2 NF3
(kg NF3/Einheit)]],"")</f>
        <v/>
      </c>
      <c r="BH70" s="15" t="str">
        <f>IFERROR(Strom[[#This Row],[Wert 
(Zahl)]]*Strom[[#This Row],[EF Scope 2 Nicht-Kyoto-Gase (kg Nicht-Kyoto-Gase/Einheit)]],"")</f>
        <v/>
      </c>
      <c r="BI70" s="15" t="str">
        <f>IF(ISBLANK(Strom[[#This Row],[Wert 
(Zahl)]]),"",IFERROR(Strom[[#This Row],[Scope 1 CO2 '[kg CO2']]]*IFERROR(VLOOKUP("CO2",GWP_100[],3,FALSE),0),0))</f>
        <v/>
      </c>
      <c r="BJ70" s="15" t="str">
        <f>IF(ISBLANK(Strom[[#This Row],[Wert 
(Zahl)]]),"",IFERROR(Strom[[#This Row],[Scope 1 CH4 '[kg CH4']]]*IFERROR(VLOOKUP("CH4",GWP_100[],4,FALSE),0),0))</f>
        <v/>
      </c>
      <c r="BK70" s="15" t="str">
        <f>IF(ISBLANK(Strom[[#This Row],[Wert 
(Zahl)]]),"",IFERROR(Strom[[#This Row],[Scope 1 N2O '[kg N2O']]]*IFERROR(VLOOKUP("N2O",GWP_100[],5,FALSE),0),0))</f>
        <v/>
      </c>
      <c r="BL70" s="15" t="str">
        <f>IF(ISBLANK(Strom[[#This Row],[Wert 
(Zahl)]]),"",IFERROR(Strom[[#This Row],[Scope 1 HFCs '[kg HFCs']]]*IFERROR(VLOOKUP(Strom[[#This Row],[Emissionsquelle/Aktivität (Dropdown)]],GWP_100[],6,FALSE),0),0))</f>
        <v/>
      </c>
      <c r="BM70" s="15" t="str">
        <f>IF(ISBLANK(Strom[[#This Row],[Wert 
(Zahl)]]),"",IFERROR(Strom[[#This Row],[Scope 1 PFCs '[kg PFCs']]]*IFERROR(VLOOKUP(Strom[[#This Row],[Emissionsquelle/Aktivität (Dropdown)]],GWP_100[],7,FALSE),0),0))</f>
        <v/>
      </c>
      <c r="BN70" s="15" t="str">
        <f>IF(ISBLANK(Strom[[#This Row],[Wert 
(Zahl)]]),"",IFERROR(Strom[[#This Row],[Scope 1 SF6 '[kg SF6']]]*IFERROR(VLOOKUP("SF6",GWP_100[],8,FALSE),0),0))</f>
        <v/>
      </c>
      <c r="BO70" s="15" t="str">
        <f>IF(ISBLANK(Strom[[#This Row],[Wert 
(Zahl)]]),"",IFERROR(Strom[[#This Row],[Scope 1 NF3 '[kg NF3']]]*IFERROR(VLOOKUP("NF3",GWP_100[],9,FALSE),0),0))</f>
        <v/>
      </c>
      <c r="BP70" s="15" t="str">
        <f>IF(ISBLANK(Strom[[#This Row],[Wert 
(Zahl)]]),"",IFERROR(Strom[[#This Row],[Scope 1 non-Kyoto '[kg non-Kyoto gas']]]*IFERROR(VLOOKUP(Strom[[#This Row],[Emissionsquelle/Aktivität (Dropdown)]],GWP_100[],10,FALSE),0),0))</f>
        <v/>
      </c>
      <c r="BQ70" s="15" t="str">
        <f>IF(ISBLANK(Strom[[#This Row],[Wert 
(Zahl)]]),"",IFERROR(Strom[[#This Row],[Scope 2 CO2 '[kg CO2']]]*IFERROR(VLOOKUP("CO2",GWP_100[],3,FALSE),0),0))</f>
        <v/>
      </c>
      <c r="BR70" s="15" t="str">
        <f>IF(ISBLANK(Strom[[#This Row],[Wert 
(Zahl)]]),"",IFERROR(Strom[[#This Row],[Scope 2 CH4 '[kg CH4']]]*IFERROR(VLOOKUP("CH4",GWP_100[],4,FALSE),0),0))</f>
        <v/>
      </c>
      <c r="BS70" s="15" t="str">
        <f>IF(ISBLANK(Strom[[#This Row],[Wert 
(Zahl)]]),"",IFERROR(Strom[[#This Row],[Scope 2 N2O '[kg N2O']]]*IFERROR(VLOOKUP("N2O",GWP_100[],5,FALSE),0),0))</f>
        <v/>
      </c>
      <c r="BT70" s="15" t="str">
        <f>IF(ISBLANK(Strom[[#This Row],[Wert 
(Zahl)]]),"",IFERROR(Strom[[#This Row],[Scope 2 HFCs '[kg HFCs']]]*IFERROR(VLOOKUP(Strom[[#This Row],[Emissionsquelle/Aktivität (Dropdown)]],GWP_100[],6,FALSE),0),0))</f>
        <v/>
      </c>
      <c r="BU70" s="15" t="str">
        <f>IF(ISBLANK(Strom[[#This Row],[Wert 
(Zahl)]]),"",IFERROR(Strom[[#This Row],[Scope 2 PFCs '[kg PFCs']]]*IFERROR(VLOOKUP(Strom[[#This Row],[Emissionsquelle/Aktivität (Dropdown)]],GWP_100[],7,FALSE),0),0))</f>
        <v/>
      </c>
      <c r="BV70" s="15" t="str">
        <f>IF(ISBLANK(Strom[[#This Row],[Wert 
(Zahl)]]),"",IFERROR(Strom[[#This Row],[Scope 2 SF6 '[kg SF6']]]*IFERROR(VLOOKUP("SF6",GWP_100[],8,FALSE),0),0))</f>
        <v/>
      </c>
      <c r="BW70" s="15" t="str">
        <f>IF(ISBLANK(Strom[[#This Row],[Wert 
(Zahl)]]),"",IFERROR(Strom[[#This Row],[Scope 2 NF3 '[kg NF3']]]*IFERROR(VLOOKUP("NF3",GWP_100[],9,FALSE),0),0))</f>
        <v/>
      </c>
      <c r="BX70" s="15" t="str">
        <f>IF(ISBLANK(Strom[[#This Row],[Wert 
(Zahl)]]),"",IFERROR(Strom[[#This Row],[Scope 2 non-Kyoto '[kg non-Kyoto gas']]]*IFERROR(VLOOKUP(Strom[[#This Row],[Emissionsquelle/Aktivität (Dropdown)]],GWP_100[],10,FALSE),0),0))</f>
        <v/>
      </c>
    </row>
    <row r="71" spans="2:76" s="89" customFormat="1" x14ac:dyDescent="0.35">
      <c r="B71" s="604"/>
      <c r="C71" s="10" t="str">
        <f t="shared" si="1"/>
        <v>Strom</v>
      </c>
      <c r="D71" s="90"/>
      <c r="E71" s="90"/>
      <c r="F71" s="288"/>
      <c r="G71" s="10" t="str">
        <f>IFERROR(VLOOKUP(Strom[[#This Row],[Thema_Bezeichung]],EFs_Strom[],4,FALSE),"")</f>
        <v/>
      </c>
      <c r="H71" s="90"/>
      <c r="I71" s="90"/>
      <c r="J71" s="90"/>
      <c r="K71" s="90"/>
      <c r="L71" s="289" t="str">
        <f>IF(ISBLANK(Strom[[#This Row],[Wert 
(Zahl)]]),"", SUM(Strom[[#This Row],[Scope 1 CO2e '[kg CO2e']]],Strom[[#This Row],[Scope 2 CO2e '[kg CO2e']]],Strom[[#This Row],[Scope 3 CO2e '[kg CO2e']]]))</f>
        <v/>
      </c>
      <c r="M71" s="289" t="str">
        <f>IF(OR(ISBLANK(Strom[[#This Row],[Wert 
(Zahl)]]),Strom[[#This Row],[Emissionsquelle/Aktivität (Dropdown)]]&lt;&gt;"Strombezug (Deutschland)"),"", SUM(Strom[[#This Row],[Scope 1 CO2e '[kg CO2e']]],Strom[[#This Row],[Scope 2 CO2e market-based '[kg CO2e']]],Strom[[#This Row],[Scope 3 CO2e '[kg CO2e']]]))</f>
        <v/>
      </c>
      <c r="N71" s="158"/>
      <c r="O71" s="15" t="str">
        <f>IF(ISBLANK(Strom[[#This Row],[Emissionsquelle/Aktivität (Dropdown)]]),"",CONCATENATE(Strom[[#This Row],[Sektor_Thema]]," - ",Strom[[#This Row],[Emissionsquelle/Aktivität (Dropdown)]]))</f>
        <v/>
      </c>
      <c r="P71" s="15" t="str">
        <f>IF(ISBLANK(Strom[[#This Row],[Emissionsquelle/Aktivität (Dropdown)]]),"",AND(Strom[[#This Row],[Emissionsquelle/Aktivität (Dropdown)]]="Strombezug (Deutschland)",ISNUMBER(Strom[[#This Row],[Scope-2-Emissionsfaktor Vertragsstrommix
'[g CO2e/kWh']
(falls verfügbar)]])))</f>
        <v/>
      </c>
      <c r="Q71" s="15" t="str">
        <f>IFERROR(VLOOKUP(Strom[[#This Row],[Thema_Bezeichung]],EFs_Strom[],5,FALSE),"")</f>
        <v/>
      </c>
      <c r="R71" s="15" t="str">
        <f>IFERROR(VLOOKUP(Strom[[#This Row],[Thema_Bezeichung]],EFs_Strom[],6,FALSE),"")</f>
        <v/>
      </c>
      <c r="S71" s="15" t="str">
        <f>IFERROR(VLOOKUP(Strom[[#This Row],[Thema_Bezeichung]],EFs_Strom[],7,FALSE),"")</f>
        <v/>
      </c>
      <c r="T71" s="15" t="str">
        <f>IFERROR(VLOOKUP(Strom[[#This Row],[Thema_Bezeichung]],EFs_Strom[],8,FALSE),"")</f>
        <v/>
      </c>
      <c r="U71" s="15" t="str">
        <f>IFERROR(VLOOKUP(Strom[[#This Row],[Thema_Bezeichung]],EFs_Strom[],9,FALSE),"")</f>
        <v/>
      </c>
      <c r="V71" s="15" t="str">
        <f>IFERROR(VLOOKUP(Strom[[#This Row],[Thema_Bezeichung]],EFs_Strom[],10,FALSE),"")</f>
        <v/>
      </c>
      <c r="W71" s="15" t="str">
        <f>IFERROR(VLOOKUP(Strom[[#This Row],[Thema_Bezeichung]],EFs_Strom[],11,FALSE),"")</f>
        <v/>
      </c>
      <c r="X71" s="15" t="str">
        <f>IFERROR(VLOOKUP(Strom[[#This Row],[Thema_Bezeichung]],EFs_Strom[],12,FALSE),"")</f>
        <v/>
      </c>
      <c r="Y71" s="15" t="str">
        <f>IFERROR(VLOOKUP(Strom[[#This Row],[Thema_Bezeichung]],EFs_Strom[],13,FALSE),"")</f>
        <v/>
      </c>
      <c r="Z71" s="15" t="str">
        <f>IFERROR(VLOOKUP(Strom[[#This Row],[Thema_Bezeichung]],EFs_Strom[],14,FALSE),"")</f>
        <v/>
      </c>
      <c r="AA71" s="15" t="str">
        <f>IFERROR(VLOOKUP(Strom[[#This Row],[Thema_Bezeichung]],EFs_Strom[],15,FALSE),"")</f>
        <v/>
      </c>
      <c r="AB71" s="15" t="str">
        <f>IF(Strom[[#This Row],[Vertragsstrommix angegegeben?]]=TRUE,Strom[[#This Row],[Scope-2-Emissionsfaktor Vertragsstrommix
'[g CO2e/kWh']
(falls verfügbar)]]/1000,IFERROR(VLOOKUP(Strom[[#This Row],[Thema_Bezeichung]],EFs_Strom[],15,FALSE),""))</f>
        <v/>
      </c>
      <c r="AC71" s="15" t="str">
        <f>IFERROR(VLOOKUP(Strom[[#This Row],[Thema_Bezeichung]],EFs_Strom[],16,FALSE),"")</f>
        <v/>
      </c>
      <c r="AD71" s="15" t="str">
        <f>IFERROR(VLOOKUP(Strom[[#This Row],[Thema_Bezeichung]],EFs_Strom[],17,FALSE),"")</f>
        <v/>
      </c>
      <c r="AE71" s="15" t="str">
        <f>IFERROR(VLOOKUP(Strom[[#This Row],[Thema_Bezeichung]],EFs_Strom[],18,FALSE),"")</f>
        <v/>
      </c>
      <c r="AF71" s="15" t="str">
        <f>IFERROR(VLOOKUP(Strom[[#This Row],[Thema_Bezeichung]],EFs_Strom[],19,FALSE),"")</f>
        <v/>
      </c>
      <c r="AG71" s="15" t="str">
        <f>IFERROR(VLOOKUP(Strom[[#This Row],[Thema_Bezeichung]],EFs_Strom[],20,FALSE),"")</f>
        <v/>
      </c>
      <c r="AH71" s="15" t="str">
        <f>IFERROR(VLOOKUP(Strom[[#This Row],[Thema_Bezeichung]],EFs_Strom[],21,FALSE),"")</f>
        <v/>
      </c>
      <c r="AI71" s="15" t="str">
        <f>IFERROR(VLOOKUP(Strom[[#This Row],[Thema_Bezeichung]],EFs_Strom[],22,FALSE),"")</f>
        <v/>
      </c>
      <c r="AJ71" s="15" t="str">
        <f>IFERROR(VLOOKUP(Strom[[#This Row],[Thema_Bezeichung]],EFs_Strom[],23,FALSE),"")</f>
        <v/>
      </c>
      <c r="AK71" s="15" t="str">
        <f>IFERROR(VLOOKUP(Strom[[#This Row],[Thema_Bezeichung]],EFs_Strom[],24,FALSE),"")</f>
        <v/>
      </c>
      <c r="AL71" s="15" t="str">
        <f>IFERROR(VLOOKUP(Strom[[#This Row],[Thema_Bezeichung]],EFs_Strom[],30,FALSE),"")</f>
        <v/>
      </c>
      <c r="AM71" s="15" t="str">
        <f>IFERROR(Strom[[#This Row],[Wert 
(Zahl)]]*Strom[[#This Row],[EF Scope 1 CO2e
(kg CO2e/Einheit)]],"")</f>
        <v/>
      </c>
      <c r="AN71" s="15" t="str">
        <f>IFERROR(Strom[[#This Row],[Wert 
(Zahl)]]*Strom[[#This Row],[EF Scope 2 CO2e
(kg CO2e/Einheit)]],"")</f>
        <v/>
      </c>
      <c r="AO71" s="15" t="str">
        <f>IFERROR(Strom[[#This Row],[Wert 
(Zahl)]]*Strom[[#This Row],[EF Scope 3 CO2e
(kg CO2e/Einheit)]],"")</f>
        <v/>
      </c>
      <c r="AP71" s="15" t="str">
        <f>IFERROR(Strom[[#This Row],[Wert 
(Zahl)]]*Strom[[#This Row],[EF Scope 1 CO2 biogen
(kg CO2 /Einheit)]],"")</f>
        <v/>
      </c>
      <c r="AQ71" s="15" t="str">
        <f>IFERROR(Strom[[#This Row],[Wert 
(Zahl)]]*Strom[[#This Row],[Scope 2 Emissionsfaktor market-based '[kg CO2e/Einheit']]],"")</f>
        <v/>
      </c>
      <c r="AR71" s="15" t="str">
        <f>IFERROR(Strom[[#This Row],[Vermeidungsfaktor '[kg CO2e/Einheit']]]*Strom[[#This Row],[Wert 
(Zahl)]],"")</f>
        <v/>
      </c>
      <c r="AS71" s="15" t="str">
        <f>IFERROR(Strom[[#This Row],[Wert 
(Zahl)]]*Strom[[#This Row],[EF Scope 1 CO2
(kg CO2/Einheit)]],"")</f>
        <v/>
      </c>
      <c r="AT71" s="15" t="str">
        <f>IFERROR(Strom[[#This Row],[Wert 
(Zahl)]]*Strom[[#This Row],[EF Scope 1 CH4
(kg CH4/Einheit)]],"")</f>
        <v/>
      </c>
      <c r="AU71" s="15" t="str">
        <f>IFERROR(Strom[[#This Row],[Wert 
(Zahl)]]*Strom[[#This Row],[EF Scope 1 N2O
(kg N2O/Einheit)]],"")</f>
        <v/>
      </c>
      <c r="AV71" s="15" t="str">
        <f>IFERROR(Strom[[#This Row],[Wert 
(Zahl)]]*Strom[[#This Row],[EF Scope 1 HFCs
(kg HFCs/Einheit)]],"")</f>
        <v/>
      </c>
      <c r="AW71" s="15" t="str">
        <f>IFERROR(Strom[[#This Row],[Wert 
(Zahl)]]*Strom[[#This Row],[EF Scope 1 PFCs
(kg PFCs/Einheit)]],"")</f>
        <v/>
      </c>
      <c r="AX71" s="15" t="str">
        <f>IFERROR(Strom[[#This Row],[Wert 
(Zahl)]]*Strom[[#This Row],[EF Scope 1 SF6
(kg SF6/Einheit)]],"")</f>
        <v/>
      </c>
      <c r="AY71" s="15" t="str">
        <f>IFERROR(Strom[[#This Row],[Wert 
(Zahl)]]*Strom[[#This Row],[EF Scope 1 NF3
(kg NF3/Einheit)]],"")</f>
        <v/>
      </c>
      <c r="AZ71" s="15" t="str">
        <f>IFERROR(Strom[[#This Row],[Wert 
(Zahl)]]*Strom[[#This Row],[EF Scope 1 Nicht-Kyoto-Gase (kg Nicht-Kyoto-Gase/Einheit)]],"")</f>
        <v/>
      </c>
      <c r="BA71" s="15" t="str">
        <f>IFERROR(Strom[[#This Row],[Wert 
(Zahl)]]*Strom[[#This Row],[EF Scope 2 CO2
(kg CO2/Einheit)]],"")</f>
        <v/>
      </c>
      <c r="BB71" s="15" t="str">
        <f>IFERROR(Strom[[#This Row],[Wert 
(Zahl)]]*Strom[[#This Row],[EF Scope 2 CH4
(kg CH4/Einheit)]],"")</f>
        <v/>
      </c>
      <c r="BC71" s="15" t="str">
        <f>IFERROR(Strom[[#This Row],[Wert 
(Zahl)]]*Strom[[#This Row],[EF Scope 2 N2O
(kg N2O/Einheit)]],"")</f>
        <v/>
      </c>
      <c r="BD71" s="15" t="str">
        <f>IFERROR(Strom[[#This Row],[Wert 
(Zahl)]]*Strom[[#This Row],[EF Scope 2 HFCs
(kg HFCs/Einheit)]],"")</f>
        <v/>
      </c>
      <c r="BE71" s="15" t="str">
        <f>IFERROR(Strom[[#This Row],[Wert 
(Zahl)]]*Strom[[#This Row],[EF Scope 2 PFCs
(kg PFCs/Einheit)]],"")</f>
        <v/>
      </c>
      <c r="BF71" s="15" t="str">
        <f>IFERROR(Strom[[#This Row],[Wert 
(Zahl)]]*Strom[[#This Row],[EF Scope 2 SF6
(kg SF6/Einheit)]],"")</f>
        <v/>
      </c>
      <c r="BG71" s="15" t="str">
        <f>IFERROR(Strom[[#This Row],[Wert 
(Zahl)]]*Strom[[#This Row],[EF Scope 2 NF3
(kg NF3/Einheit)]],"")</f>
        <v/>
      </c>
      <c r="BH71" s="15" t="str">
        <f>IFERROR(Strom[[#This Row],[Wert 
(Zahl)]]*Strom[[#This Row],[EF Scope 2 Nicht-Kyoto-Gase (kg Nicht-Kyoto-Gase/Einheit)]],"")</f>
        <v/>
      </c>
      <c r="BI71" s="15" t="str">
        <f>IF(ISBLANK(Strom[[#This Row],[Wert 
(Zahl)]]),"",IFERROR(Strom[[#This Row],[Scope 1 CO2 '[kg CO2']]]*IFERROR(VLOOKUP("CO2",GWP_100[],3,FALSE),0),0))</f>
        <v/>
      </c>
      <c r="BJ71" s="15" t="str">
        <f>IF(ISBLANK(Strom[[#This Row],[Wert 
(Zahl)]]),"",IFERROR(Strom[[#This Row],[Scope 1 CH4 '[kg CH4']]]*IFERROR(VLOOKUP("CH4",GWP_100[],4,FALSE),0),0))</f>
        <v/>
      </c>
      <c r="BK71" s="15" t="str">
        <f>IF(ISBLANK(Strom[[#This Row],[Wert 
(Zahl)]]),"",IFERROR(Strom[[#This Row],[Scope 1 N2O '[kg N2O']]]*IFERROR(VLOOKUP("N2O",GWP_100[],5,FALSE),0),0))</f>
        <v/>
      </c>
      <c r="BL71" s="15" t="str">
        <f>IF(ISBLANK(Strom[[#This Row],[Wert 
(Zahl)]]),"",IFERROR(Strom[[#This Row],[Scope 1 HFCs '[kg HFCs']]]*IFERROR(VLOOKUP(Strom[[#This Row],[Emissionsquelle/Aktivität (Dropdown)]],GWP_100[],6,FALSE),0),0))</f>
        <v/>
      </c>
      <c r="BM71" s="15" t="str">
        <f>IF(ISBLANK(Strom[[#This Row],[Wert 
(Zahl)]]),"",IFERROR(Strom[[#This Row],[Scope 1 PFCs '[kg PFCs']]]*IFERROR(VLOOKUP(Strom[[#This Row],[Emissionsquelle/Aktivität (Dropdown)]],GWP_100[],7,FALSE),0),0))</f>
        <v/>
      </c>
      <c r="BN71" s="15" t="str">
        <f>IF(ISBLANK(Strom[[#This Row],[Wert 
(Zahl)]]),"",IFERROR(Strom[[#This Row],[Scope 1 SF6 '[kg SF6']]]*IFERROR(VLOOKUP("SF6",GWP_100[],8,FALSE),0),0))</f>
        <v/>
      </c>
      <c r="BO71" s="15" t="str">
        <f>IF(ISBLANK(Strom[[#This Row],[Wert 
(Zahl)]]),"",IFERROR(Strom[[#This Row],[Scope 1 NF3 '[kg NF3']]]*IFERROR(VLOOKUP("NF3",GWP_100[],9,FALSE),0),0))</f>
        <v/>
      </c>
      <c r="BP71" s="15" t="str">
        <f>IF(ISBLANK(Strom[[#This Row],[Wert 
(Zahl)]]),"",IFERROR(Strom[[#This Row],[Scope 1 non-Kyoto '[kg non-Kyoto gas']]]*IFERROR(VLOOKUP(Strom[[#This Row],[Emissionsquelle/Aktivität (Dropdown)]],GWP_100[],10,FALSE),0),0))</f>
        <v/>
      </c>
      <c r="BQ71" s="15" t="str">
        <f>IF(ISBLANK(Strom[[#This Row],[Wert 
(Zahl)]]),"",IFERROR(Strom[[#This Row],[Scope 2 CO2 '[kg CO2']]]*IFERROR(VLOOKUP("CO2",GWP_100[],3,FALSE),0),0))</f>
        <v/>
      </c>
      <c r="BR71" s="15" t="str">
        <f>IF(ISBLANK(Strom[[#This Row],[Wert 
(Zahl)]]),"",IFERROR(Strom[[#This Row],[Scope 2 CH4 '[kg CH4']]]*IFERROR(VLOOKUP("CH4",GWP_100[],4,FALSE),0),0))</f>
        <v/>
      </c>
      <c r="BS71" s="15" t="str">
        <f>IF(ISBLANK(Strom[[#This Row],[Wert 
(Zahl)]]),"",IFERROR(Strom[[#This Row],[Scope 2 N2O '[kg N2O']]]*IFERROR(VLOOKUP("N2O",GWP_100[],5,FALSE),0),0))</f>
        <v/>
      </c>
      <c r="BT71" s="15" t="str">
        <f>IF(ISBLANK(Strom[[#This Row],[Wert 
(Zahl)]]),"",IFERROR(Strom[[#This Row],[Scope 2 HFCs '[kg HFCs']]]*IFERROR(VLOOKUP(Strom[[#This Row],[Emissionsquelle/Aktivität (Dropdown)]],GWP_100[],6,FALSE),0),0))</f>
        <v/>
      </c>
      <c r="BU71" s="15" t="str">
        <f>IF(ISBLANK(Strom[[#This Row],[Wert 
(Zahl)]]),"",IFERROR(Strom[[#This Row],[Scope 2 PFCs '[kg PFCs']]]*IFERROR(VLOOKUP(Strom[[#This Row],[Emissionsquelle/Aktivität (Dropdown)]],GWP_100[],7,FALSE),0),0))</f>
        <v/>
      </c>
      <c r="BV71" s="15" t="str">
        <f>IF(ISBLANK(Strom[[#This Row],[Wert 
(Zahl)]]),"",IFERROR(Strom[[#This Row],[Scope 2 SF6 '[kg SF6']]]*IFERROR(VLOOKUP("SF6",GWP_100[],8,FALSE),0),0))</f>
        <v/>
      </c>
      <c r="BW71" s="15" t="str">
        <f>IF(ISBLANK(Strom[[#This Row],[Wert 
(Zahl)]]),"",IFERROR(Strom[[#This Row],[Scope 2 NF3 '[kg NF3']]]*IFERROR(VLOOKUP("NF3",GWP_100[],9,FALSE),0),0))</f>
        <v/>
      </c>
      <c r="BX71" s="15" t="str">
        <f>IF(ISBLANK(Strom[[#This Row],[Wert 
(Zahl)]]),"",IFERROR(Strom[[#This Row],[Scope 2 non-Kyoto '[kg non-Kyoto gas']]]*IFERROR(VLOOKUP(Strom[[#This Row],[Emissionsquelle/Aktivität (Dropdown)]],GWP_100[],10,FALSE),0),0))</f>
        <v/>
      </c>
    </row>
    <row r="72" spans="2:76" s="89" customFormat="1" x14ac:dyDescent="0.35">
      <c r="B72" s="604"/>
      <c r="C72" s="10" t="str">
        <f t="shared" si="1"/>
        <v>Strom</v>
      </c>
      <c r="D72" s="90"/>
      <c r="E72" s="90"/>
      <c r="F72" s="288"/>
      <c r="G72" s="10" t="str">
        <f>IFERROR(VLOOKUP(Strom[[#This Row],[Thema_Bezeichung]],EFs_Strom[],4,FALSE),"")</f>
        <v/>
      </c>
      <c r="H72" s="90"/>
      <c r="I72" s="90"/>
      <c r="J72" s="90"/>
      <c r="K72" s="90"/>
      <c r="L72" s="289" t="str">
        <f>IF(ISBLANK(Strom[[#This Row],[Wert 
(Zahl)]]),"", SUM(Strom[[#This Row],[Scope 1 CO2e '[kg CO2e']]],Strom[[#This Row],[Scope 2 CO2e '[kg CO2e']]],Strom[[#This Row],[Scope 3 CO2e '[kg CO2e']]]))</f>
        <v/>
      </c>
      <c r="M72" s="289" t="str">
        <f>IF(OR(ISBLANK(Strom[[#This Row],[Wert 
(Zahl)]]),Strom[[#This Row],[Emissionsquelle/Aktivität (Dropdown)]]&lt;&gt;"Strombezug (Deutschland)"),"", SUM(Strom[[#This Row],[Scope 1 CO2e '[kg CO2e']]],Strom[[#This Row],[Scope 2 CO2e market-based '[kg CO2e']]],Strom[[#This Row],[Scope 3 CO2e '[kg CO2e']]]))</f>
        <v/>
      </c>
      <c r="N72" s="158"/>
      <c r="O72" s="15" t="str">
        <f>IF(ISBLANK(Strom[[#This Row],[Emissionsquelle/Aktivität (Dropdown)]]),"",CONCATENATE(Strom[[#This Row],[Sektor_Thema]]," - ",Strom[[#This Row],[Emissionsquelle/Aktivität (Dropdown)]]))</f>
        <v/>
      </c>
      <c r="P72" s="15" t="str">
        <f>IF(ISBLANK(Strom[[#This Row],[Emissionsquelle/Aktivität (Dropdown)]]),"",AND(Strom[[#This Row],[Emissionsquelle/Aktivität (Dropdown)]]="Strombezug (Deutschland)",ISNUMBER(Strom[[#This Row],[Scope-2-Emissionsfaktor Vertragsstrommix
'[g CO2e/kWh']
(falls verfügbar)]])))</f>
        <v/>
      </c>
      <c r="Q72" s="15" t="str">
        <f>IFERROR(VLOOKUP(Strom[[#This Row],[Thema_Bezeichung]],EFs_Strom[],5,FALSE),"")</f>
        <v/>
      </c>
      <c r="R72" s="15" t="str">
        <f>IFERROR(VLOOKUP(Strom[[#This Row],[Thema_Bezeichung]],EFs_Strom[],6,FALSE),"")</f>
        <v/>
      </c>
      <c r="S72" s="15" t="str">
        <f>IFERROR(VLOOKUP(Strom[[#This Row],[Thema_Bezeichung]],EFs_Strom[],7,FALSE),"")</f>
        <v/>
      </c>
      <c r="T72" s="15" t="str">
        <f>IFERROR(VLOOKUP(Strom[[#This Row],[Thema_Bezeichung]],EFs_Strom[],8,FALSE),"")</f>
        <v/>
      </c>
      <c r="U72" s="15" t="str">
        <f>IFERROR(VLOOKUP(Strom[[#This Row],[Thema_Bezeichung]],EFs_Strom[],9,FALSE),"")</f>
        <v/>
      </c>
      <c r="V72" s="15" t="str">
        <f>IFERROR(VLOOKUP(Strom[[#This Row],[Thema_Bezeichung]],EFs_Strom[],10,FALSE),"")</f>
        <v/>
      </c>
      <c r="W72" s="15" t="str">
        <f>IFERROR(VLOOKUP(Strom[[#This Row],[Thema_Bezeichung]],EFs_Strom[],11,FALSE),"")</f>
        <v/>
      </c>
      <c r="X72" s="15" t="str">
        <f>IFERROR(VLOOKUP(Strom[[#This Row],[Thema_Bezeichung]],EFs_Strom[],12,FALSE),"")</f>
        <v/>
      </c>
      <c r="Y72" s="15" t="str">
        <f>IFERROR(VLOOKUP(Strom[[#This Row],[Thema_Bezeichung]],EFs_Strom[],13,FALSE),"")</f>
        <v/>
      </c>
      <c r="Z72" s="15" t="str">
        <f>IFERROR(VLOOKUP(Strom[[#This Row],[Thema_Bezeichung]],EFs_Strom[],14,FALSE),"")</f>
        <v/>
      </c>
      <c r="AA72" s="15" t="str">
        <f>IFERROR(VLOOKUP(Strom[[#This Row],[Thema_Bezeichung]],EFs_Strom[],15,FALSE),"")</f>
        <v/>
      </c>
      <c r="AB72" s="15" t="str">
        <f>IF(Strom[[#This Row],[Vertragsstrommix angegegeben?]]=TRUE,Strom[[#This Row],[Scope-2-Emissionsfaktor Vertragsstrommix
'[g CO2e/kWh']
(falls verfügbar)]]/1000,IFERROR(VLOOKUP(Strom[[#This Row],[Thema_Bezeichung]],EFs_Strom[],15,FALSE),""))</f>
        <v/>
      </c>
      <c r="AC72" s="15" t="str">
        <f>IFERROR(VLOOKUP(Strom[[#This Row],[Thema_Bezeichung]],EFs_Strom[],16,FALSE),"")</f>
        <v/>
      </c>
      <c r="AD72" s="15" t="str">
        <f>IFERROR(VLOOKUP(Strom[[#This Row],[Thema_Bezeichung]],EFs_Strom[],17,FALSE),"")</f>
        <v/>
      </c>
      <c r="AE72" s="15" t="str">
        <f>IFERROR(VLOOKUP(Strom[[#This Row],[Thema_Bezeichung]],EFs_Strom[],18,FALSE),"")</f>
        <v/>
      </c>
      <c r="AF72" s="15" t="str">
        <f>IFERROR(VLOOKUP(Strom[[#This Row],[Thema_Bezeichung]],EFs_Strom[],19,FALSE),"")</f>
        <v/>
      </c>
      <c r="AG72" s="15" t="str">
        <f>IFERROR(VLOOKUP(Strom[[#This Row],[Thema_Bezeichung]],EFs_Strom[],20,FALSE),"")</f>
        <v/>
      </c>
      <c r="AH72" s="15" t="str">
        <f>IFERROR(VLOOKUP(Strom[[#This Row],[Thema_Bezeichung]],EFs_Strom[],21,FALSE),"")</f>
        <v/>
      </c>
      <c r="AI72" s="15" t="str">
        <f>IFERROR(VLOOKUP(Strom[[#This Row],[Thema_Bezeichung]],EFs_Strom[],22,FALSE),"")</f>
        <v/>
      </c>
      <c r="AJ72" s="15" t="str">
        <f>IFERROR(VLOOKUP(Strom[[#This Row],[Thema_Bezeichung]],EFs_Strom[],23,FALSE),"")</f>
        <v/>
      </c>
      <c r="AK72" s="15" t="str">
        <f>IFERROR(VLOOKUP(Strom[[#This Row],[Thema_Bezeichung]],EFs_Strom[],24,FALSE),"")</f>
        <v/>
      </c>
      <c r="AL72" s="15" t="str">
        <f>IFERROR(VLOOKUP(Strom[[#This Row],[Thema_Bezeichung]],EFs_Strom[],30,FALSE),"")</f>
        <v/>
      </c>
      <c r="AM72" s="15" t="str">
        <f>IFERROR(Strom[[#This Row],[Wert 
(Zahl)]]*Strom[[#This Row],[EF Scope 1 CO2e
(kg CO2e/Einheit)]],"")</f>
        <v/>
      </c>
      <c r="AN72" s="15" t="str">
        <f>IFERROR(Strom[[#This Row],[Wert 
(Zahl)]]*Strom[[#This Row],[EF Scope 2 CO2e
(kg CO2e/Einheit)]],"")</f>
        <v/>
      </c>
      <c r="AO72" s="15" t="str">
        <f>IFERROR(Strom[[#This Row],[Wert 
(Zahl)]]*Strom[[#This Row],[EF Scope 3 CO2e
(kg CO2e/Einheit)]],"")</f>
        <v/>
      </c>
      <c r="AP72" s="15" t="str">
        <f>IFERROR(Strom[[#This Row],[Wert 
(Zahl)]]*Strom[[#This Row],[EF Scope 1 CO2 biogen
(kg CO2 /Einheit)]],"")</f>
        <v/>
      </c>
      <c r="AQ72" s="15" t="str">
        <f>IFERROR(Strom[[#This Row],[Wert 
(Zahl)]]*Strom[[#This Row],[Scope 2 Emissionsfaktor market-based '[kg CO2e/Einheit']]],"")</f>
        <v/>
      </c>
      <c r="AR72" s="15" t="str">
        <f>IFERROR(Strom[[#This Row],[Vermeidungsfaktor '[kg CO2e/Einheit']]]*Strom[[#This Row],[Wert 
(Zahl)]],"")</f>
        <v/>
      </c>
      <c r="AS72" s="15" t="str">
        <f>IFERROR(Strom[[#This Row],[Wert 
(Zahl)]]*Strom[[#This Row],[EF Scope 1 CO2
(kg CO2/Einheit)]],"")</f>
        <v/>
      </c>
      <c r="AT72" s="15" t="str">
        <f>IFERROR(Strom[[#This Row],[Wert 
(Zahl)]]*Strom[[#This Row],[EF Scope 1 CH4
(kg CH4/Einheit)]],"")</f>
        <v/>
      </c>
      <c r="AU72" s="15" t="str">
        <f>IFERROR(Strom[[#This Row],[Wert 
(Zahl)]]*Strom[[#This Row],[EF Scope 1 N2O
(kg N2O/Einheit)]],"")</f>
        <v/>
      </c>
      <c r="AV72" s="15" t="str">
        <f>IFERROR(Strom[[#This Row],[Wert 
(Zahl)]]*Strom[[#This Row],[EF Scope 1 HFCs
(kg HFCs/Einheit)]],"")</f>
        <v/>
      </c>
      <c r="AW72" s="15" t="str">
        <f>IFERROR(Strom[[#This Row],[Wert 
(Zahl)]]*Strom[[#This Row],[EF Scope 1 PFCs
(kg PFCs/Einheit)]],"")</f>
        <v/>
      </c>
      <c r="AX72" s="15" t="str">
        <f>IFERROR(Strom[[#This Row],[Wert 
(Zahl)]]*Strom[[#This Row],[EF Scope 1 SF6
(kg SF6/Einheit)]],"")</f>
        <v/>
      </c>
      <c r="AY72" s="15" t="str">
        <f>IFERROR(Strom[[#This Row],[Wert 
(Zahl)]]*Strom[[#This Row],[EF Scope 1 NF3
(kg NF3/Einheit)]],"")</f>
        <v/>
      </c>
      <c r="AZ72" s="15" t="str">
        <f>IFERROR(Strom[[#This Row],[Wert 
(Zahl)]]*Strom[[#This Row],[EF Scope 1 Nicht-Kyoto-Gase (kg Nicht-Kyoto-Gase/Einheit)]],"")</f>
        <v/>
      </c>
      <c r="BA72" s="15" t="str">
        <f>IFERROR(Strom[[#This Row],[Wert 
(Zahl)]]*Strom[[#This Row],[EF Scope 2 CO2
(kg CO2/Einheit)]],"")</f>
        <v/>
      </c>
      <c r="BB72" s="15" t="str">
        <f>IFERROR(Strom[[#This Row],[Wert 
(Zahl)]]*Strom[[#This Row],[EF Scope 2 CH4
(kg CH4/Einheit)]],"")</f>
        <v/>
      </c>
      <c r="BC72" s="15" t="str">
        <f>IFERROR(Strom[[#This Row],[Wert 
(Zahl)]]*Strom[[#This Row],[EF Scope 2 N2O
(kg N2O/Einheit)]],"")</f>
        <v/>
      </c>
      <c r="BD72" s="15" t="str">
        <f>IFERROR(Strom[[#This Row],[Wert 
(Zahl)]]*Strom[[#This Row],[EF Scope 2 HFCs
(kg HFCs/Einheit)]],"")</f>
        <v/>
      </c>
      <c r="BE72" s="15" t="str">
        <f>IFERROR(Strom[[#This Row],[Wert 
(Zahl)]]*Strom[[#This Row],[EF Scope 2 PFCs
(kg PFCs/Einheit)]],"")</f>
        <v/>
      </c>
      <c r="BF72" s="15" t="str">
        <f>IFERROR(Strom[[#This Row],[Wert 
(Zahl)]]*Strom[[#This Row],[EF Scope 2 SF6
(kg SF6/Einheit)]],"")</f>
        <v/>
      </c>
      <c r="BG72" s="15" t="str">
        <f>IFERROR(Strom[[#This Row],[Wert 
(Zahl)]]*Strom[[#This Row],[EF Scope 2 NF3
(kg NF3/Einheit)]],"")</f>
        <v/>
      </c>
      <c r="BH72" s="15" t="str">
        <f>IFERROR(Strom[[#This Row],[Wert 
(Zahl)]]*Strom[[#This Row],[EF Scope 2 Nicht-Kyoto-Gase (kg Nicht-Kyoto-Gase/Einheit)]],"")</f>
        <v/>
      </c>
      <c r="BI72" s="15" t="str">
        <f>IF(ISBLANK(Strom[[#This Row],[Wert 
(Zahl)]]),"",IFERROR(Strom[[#This Row],[Scope 1 CO2 '[kg CO2']]]*IFERROR(VLOOKUP("CO2",GWP_100[],3,FALSE),0),0))</f>
        <v/>
      </c>
      <c r="BJ72" s="15" t="str">
        <f>IF(ISBLANK(Strom[[#This Row],[Wert 
(Zahl)]]),"",IFERROR(Strom[[#This Row],[Scope 1 CH4 '[kg CH4']]]*IFERROR(VLOOKUP("CH4",GWP_100[],4,FALSE),0),0))</f>
        <v/>
      </c>
      <c r="BK72" s="15" t="str">
        <f>IF(ISBLANK(Strom[[#This Row],[Wert 
(Zahl)]]),"",IFERROR(Strom[[#This Row],[Scope 1 N2O '[kg N2O']]]*IFERROR(VLOOKUP("N2O",GWP_100[],5,FALSE),0),0))</f>
        <v/>
      </c>
      <c r="BL72" s="15" t="str">
        <f>IF(ISBLANK(Strom[[#This Row],[Wert 
(Zahl)]]),"",IFERROR(Strom[[#This Row],[Scope 1 HFCs '[kg HFCs']]]*IFERROR(VLOOKUP(Strom[[#This Row],[Emissionsquelle/Aktivität (Dropdown)]],GWP_100[],6,FALSE),0),0))</f>
        <v/>
      </c>
      <c r="BM72" s="15" t="str">
        <f>IF(ISBLANK(Strom[[#This Row],[Wert 
(Zahl)]]),"",IFERROR(Strom[[#This Row],[Scope 1 PFCs '[kg PFCs']]]*IFERROR(VLOOKUP(Strom[[#This Row],[Emissionsquelle/Aktivität (Dropdown)]],GWP_100[],7,FALSE),0),0))</f>
        <v/>
      </c>
      <c r="BN72" s="15" t="str">
        <f>IF(ISBLANK(Strom[[#This Row],[Wert 
(Zahl)]]),"",IFERROR(Strom[[#This Row],[Scope 1 SF6 '[kg SF6']]]*IFERROR(VLOOKUP("SF6",GWP_100[],8,FALSE),0),0))</f>
        <v/>
      </c>
      <c r="BO72" s="15" t="str">
        <f>IF(ISBLANK(Strom[[#This Row],[Wert 
(Zahl)]]),"",IFERROR(Strom[[#This Row],[Scope 1 NF3 '[kg NF3']]]*IFERROR(VLOOKUP("NF3",GWP_100[],9,FALSE),0),0))</f>
        <v/>
      </c>
      <c r="BP72" s="15" t="str">
        <f>IF(ISBLANK(Strom[[#This Row],[Wert 
(Zahl)]]),"",IFERROR(Strom[[#This Row],[Scope 1 non-Kyoto '[kg non-Kyoto gas']]]*IFERROR(VLOOKUP(Strom[[#This Row],[Emissionsquelle/Aktivität (Dropdown)]],GWP_100[],10,FALSE),0),0))</f>
        <v/>
      </c>
      <c r="BQ72" s="15" t="str">
        <f>IF(ISBLANK(Strom[[#This Row],[Wert 
(Zahl)]]),"",IFERROR(Strom[[#This Row],[Scope 2 CO2 '[kg CO2']]]*IFERROR(VLOOKUP("CO2",GWP_100[],3,FALSE),0),0))</f>
        <v/>
      </c>
      <c r="BR72" s="15" t="str">
        <f>IF(ISBLANK(Strom[[#This Row],[Wert 
(Zahl)]]),"",IFERROR(Strom[[#This Row],[Scope 2 CH4 '[kg CH4']]]*IFERROR(VLOOKUP("CH4",GWP_100[],4,FALSE),0),0))</f>
        <v/>
      </c>
      <c r="BS72" s="15" t="str">
        <f>IF(ISBLANK(Strom[[#This Row],[Wert 
(Zahl)]]),"",IFERROR(Strom[[#This Row],[Scope 2 N2O '[kg N2O']]]*IFERROR(VLOOKUP("N2O",GWP_100[],5,FALSE),0),0))</f>
        <v/>
      </c>
      <c r="BT72" s="15" t="str">
        <f>IF(ISBLANK(Strom[[#This Row],[Wert 
(Zahl)]]),"",IFERROR(Strom[[#This Row],[Scope 2 HFCs '[kg HFCs']]]*IFERROR(VLOOKUP(Strom[[#This Row],[Emissionsquelle/Aktivität (Dropdown)]],GWP_100[],6,FALSE),0),0))</f>
        <v/>
      </c>
      <c r="BU72" s="15" t="str">
        <f>IF(ISBLANK(Strom[[#This Row],[Wert 
(Zahl)]]),"",IFERROR(Strom[[#This Row],[Scope 2 PFCs '[kg PFCs']]]*IFERROR(VLOOKUP(Strom[[#This Row],[Emissionsquelle/Aktivität (Dropdown)]],GWP_100[],7,FALSE),0),0))</f>
        <v/>
      </c>
      <c r="BV72" s="15" t="str">
        <f>IF(ISBLANK(Strom[[#This Row],[Wert 
(Zahl)]]),"",IFERROR(Strom[[#This Row],[Scope 2 SF6 '[kg SF6']]]*IFERROR(VLOOKUP("SF6",GWP_100[],8,FALSE),0),0))</f>
        <v/>
      </c>
      <c r="BW72" s="15" t="str">
        <f>IF(ISBLANK(Strom[[#This Row],[Wert 
(Zahl)]]),"",IFERROR(Strom[[#This Row],[Scope 2 NF3 '[kg NF3']]]*IFERROR(VLOOKUP("NF3",GWP_100[],9,FALSE),0),0))</f>
        <v/>
      </c>
      <c r="BX72" s="15" t="str">
        <f>IF(ISBLANK(Strom[[#This Row],[Wert 
(Zahl)]]),"",IFERROR(Strom[[#This Row],[Scope 2 non-Kyoto '[kg non-Kyoto gas']]]*IFERROR(VLOOKUP(Strom[[#This Row],[Emissionsquelle/Aktivität (Dropdown)]],GWP_100[],10,FALSE),0),0))</f>
        <v/>
      </c>
    </row>
    <row r="73" spans="2:76" s="89" customFormat="1" x14ac:dyDescent="0.35">
      <c r="B73" s="604"/>
      <c r="C73" s="10" t="str">
        <f t="shared" si="1"/>
        <v>Strom</v>
      </c>
      <c r="D73" s="90"/>
      <c r="E73" s="90"/>
      <c r="F73" s="288"/>
      <c r="G73" s="10" t="str">
        <f>IFERROR(VLOOKUP(Strom[[#This Row],[Thema_Bezeichung]],EFs_Strom[],4,FALSE),"")</f>
        <v/>
      </c>
      <c r="H73" s="90"/>
      <c r="I73" s="90"/>
      <c r="J73" s="90"/>
      <c r="K73" s="90"/>
      <c r="L73" s="289" t="str">
        <f>IF(ISBLANK(Strom[[#This Row],[Wert 
(Zahl)]]),"", SUM(Strom[[#This Row],[Scope 1 CO2e '[kg CO2e']]],Strom[[#This Row],[Scope 2 CO2e '[kg CO2e']]],Strom[[#This Row],[Scope 3 CO2e '[kg CO2e']]]))</f>
        <v/>
      </c>
      <c r="M73" s="289" t="str">
        <f>IF(OR(ISBLANK(Strom[[#This Row],[Wert 
(Zahl)]]),Strom[[#This Row],[Emissionsquelle/Aktivität (Dropdown)]]&lt;&gt;"Strombezug (Deutschland)"),"", SUM(Strom[[#This Row],[Scope 1 CO2e '[kg CO2e']]],Strom[[#This Row],[Scope 2 CO2e market-based '[kg CO2e']]],Strom[[#This Row],[Scope 3 CO2e '[kg CO2e']]]))</f>
        <v/>
      </c>
      <c r="N73" s="158"/>
      <c r="O73" s="15" t="str">
        <f>IF(ISBLANK(Strom[[#This Row],[Emissionsquelle/Aktivität (Dropdown)]]),"",CONCATENATE(Strom[[#This Row],[Sektor_Thema]]," - ",Strom[[#This Row],[Emissionsquelle/Aktivität (Dropdown)]]))</f>
        <v/>
      </c>
      <c r="P73" s="15" t="str">
        <f>IF(ISBLANK(Strom[[#This Row],[Emissionsquelle/Aktivität (Dropdown)]]),"",AND(Strom[[#This Row],[Emissionsquelle/Aktivität (Dropdown)]]="Strombezug (Deutschland)",ISNUMBER(Strom[[#This Row],[Scope-2-Emissionsfaktor Vertragsstrommix
'[g CO2e/kWh']
(falls verfügbar)]])))</f>
        <v/>
      </c>
      <c r="Q73" s="15" t="str">
        <f>IFERROR(VLOOKUP(Strom[[#This Row],[Thema_Bezeichung]],EFs_Strom[],5,FALSE),"")</f>
        <v/>
      </c>
      <c r="R73" s="15" t="str">
        <f>IFERROR(VLOOKUP(Strom[[#This Row],[Thema_Bezeichung]],EFs_Strom[],6,FALSE),"")</f>
        <v/>
      </c>
      <c r="S73" s="15" t="str">
        <f>IFERROR(VLOOKUP(Strom[[#This Row],[Thema_Bezeichung]],EFs_Strom[],7,FALSE),"")</f>
        <v/>
      </c>
      <c r="T73" s="15" t="str">
        <f>IFERROR(VLOOKUP(Strom[[#This Row],[Thema_Bezeichung]],EFs_Strom[],8,FALSE),"")</f>
        <v/>
      </c>
      <c r="U73" s="15" t="str">
        <f>IFERROR(VLOOKUP(Strom[[#This Row],[Thema_Bezeichung]],EFs_Strom[],9,FALSE),"")</f>
        <v/>
      </c>
      <c r="V73" s="15" t="str">
        <f>IFERROR(VLOOKUP(Strom[[#This Row],[Thema_Bezeichung]],EFs_Strom[],10,FALSE),"")</f>
        <v/>
      </c>
      <c r="W73" s="15" t="str">
        <f>IFERROR(VLOOKUP(Strom[[#This Row],[Thema_Bezeichung]],EFs_Strom[],11,FALSE),"")</f>
        <v/>
      </c>
      <c r="X73" s="15" t="str">
        <f>IFERROR(VLOOKUP(Strom[[#This Row],[Thema_Bezeichung]],EFs_Strom[],12,FALSE),"")</f>
        <v/>
      </c>
      <c r="Y73" s="15" t="str">
        <f>IFERROR(VLOOKUP(Strom[[#This Row],[Thema_Bezeichung]],EFs_Strom[],13,FALSE),"")</f>
        <v/>
      </c>
      <c r="Z73" s="15" t="str">
        <f>IFERROR(VLOOKUP(Strom[[#This Row],[Thema_Bezeichung]],EFs_Strom[],14,FALSE),"")</f>
        <v/>
      </c>
      <c r="AA73" s="15" t="str">
        <f>IFERROR(VLOOKUP(Strom[[#This Row],[Thema_Bezeichung]],EFs_Strom[],15,FALSE),"")</f>
        <v/>
      </c>
      <c r="AB73" s="15" t="str">
        <f>IF(Strom[[#This Row],[Vertragsstrommix angegegeben?]]=TRUE,Strom[[#This Row],[Scope-2-Emissionsfaktor Vertragsstrommix
'[g CO2e/kWh']
(falls verfügbar)]]/1000,IFERROR(VLOOKUP(Strom[[#This Row],[Thema_Bezeichung]],EFs_Strom[],15,FALSE),""))</f>
        <v/>
      </c>
      <c r="AC73" s="15" t="str">
        <f>IFERROR(VLOOKUP(Strom[[#This Row],[Thema_Bezeichung]],EFs_Strom[],16,FALSE),"")</f>
        <v/>
      </c>
      <c r="AD73" s="15" t="str">
        <f>IFERROR(VLOOKUP(Strom[[#This Row],[Thema_Bezeichung]],EFs_Strom[],17,FALSE),"")</f>
        <v/>
      </c>
      <c r="AE73" s="15" t="str">
        <f>IFERROR(VLOOKUP(Strom[[#This Row],[Thema_Bezeichung]],EFs_Strom[],18,FALSE),"")</f>
        <v/>
      </c>
      <c r="AF73" s="15" t="str">
        <f>IFERROR(VLOOKUP(Strom[[#This Row],[Thema_Bezeichung]],EFs_Strom[],19,FALSE),"")</f>
        <v/>
      </c>
      <c r="AG73" s="15" t="str">
        <f>IFERROR(VLOOKUP(Strom[[#This Row],[Thema_Bezeichung]],EFs_Strom[],20,FALSE),"")</f>
        <v/>
      </c>
      <c r="AH73" s="15" t="str">
        <f>IFERROR(VLOOKUP(Strom[[#This Row],[Thema_Bezeichung]],EFs_Strom[],21,FALSE),"")</f>
        <v/>
      </c>
      <c r="AI73" s="15" t="str">
        <f>IFERROR(VLOOKUP(Strom[[#This Row],[Thema_Bezeichung]],EFs_Strom[],22,FALSE),"")</f>
        <v/>
      </c>
      <c r="AJ73" s="15" t="str">
        <f>IFERROR(VLOOKUP(Strom[[#This Row],[Thema_Bezeichung]],EFs_Strom[],23,FALSE),"")</f>
        <v/>
      </c>
      <c r="AK73" s="15" t="str">
        <f>IFERROR(VLOOKUP(Strom[[#This Row],[Thema_Bezeichung]],EFs_Strom[],24,FALSE),"")</f>
        <v/>
      </c>
      <c r="AL73" s="15" t="str">
        <f>IFERROR(VLOOKUP(Strom[[#This Row],[Thema_Bezeichung]],EFs_Strom[],30,FALSE),"")</f>
        <v/>
      </c>
      <c r="AM73" s="15" t="str">
        <f>IFERROR(Strom[[#This Row],[Wert 
(Zahl)]]*Strom[[#This Row],[EF Scope 1 CO2e
(kg CO2e/Einheit)]],"")</f>
        <v/>
      </c>
      <c r="AN73" s="15" t="str">
        <f>IFERROR(Strom[[#This Row],[Wert 
(Zahl)]]*Strom[[#This Row],[EF Scope 2 CO2e
(kg CO2e/Einheit)]],"")</f>
        <v/>
      </c>
      <c r="AO73" s="15" t="str">
        <f>IFERROR(Strom[[#This Row],[Wert 
(Zahl)]]*Strom[[#This Row],[EF Scope 3 CO2e
(kg CO2e/Einheit)]],"")</f>
        <v/>
      </c>
      <c r="AP73" s="15" t="str">
        <f>IFERROR(Strom[[#This Row],[Wert 
(Zahl)]]*Strom[[#This Row],[EF Scope 1 CO2 biogen
(kg CO2 /Einheit)]],"")</f>
        <v/>
      </c>
      <c r="AQ73" s="15" t="str">
        <f>IFERROR(Strom[[#This Row],[Wert 
(Zahl)]]*Strom[[#This Row],[Scope 2 Emissionsfaktor market-based '[kg CO2e/Einheit']]],"")</f>
        <v/>
      </c>
      <c r="AR73" s="15" t="str">
        <f>IFERROR(Strom[[#This Row],[Vermeidungsfaktor '[kg CO2e/Einheit']]]*Strom[[#This Row],[Wert 
(Zahl)]],"")</f>
        <v/>
      </c>
      <c r="AS73" s="15" t="str">
        <f>IFERROR(Strom[[#This Row],[Wert 
(Zahl)]]*Strom[[#This Row],[EF Scope 1 CO2
(kg CO2/Einheit)]],"")</f>
        <v/>
      </c>
      <c r="AT73" s="15" t="str">
        <f>IFERROR(Strom[[#This Row],[Wert 
(Zahl)]]*Strom[[#This Row],[EF Scope 1 CH4
(kg CH4/Einheit)]],"")</f>
        <v/>
      </c>
      <c r="AU73" s="15" t="str">
        <f>IFERROR(Strom[[#This Row],[Wert 
(Zahl)]]*Strom[[#This Row],[EF Scope 1 N2O
(kg N2O/Einheit)]],"")</f>
        <v/>
      </c>
      <c r="AV73" s="15" t="str">
        <f>IFERROR(Strom[[#This Row],[Wert 
(Zahl)]]*Strom[[#This Row],[EF Scope 1 HFCs
(kg HFCs/Einheit)]],"")</f>
        <v/>
      </c>
      <c r="AW73" s="15" t="str">
        <f>IFERROR(Strom[[#This Row],[Wert 
(Zahl)]]*Strom[[#This Row],[EF Scope 1 PFCs
(kg PFCs/Einheit)]],"")</f>
        <v/>
      </c>
      <c r="AX73" s="15" t="str">
        <f>IFERROR(Strom[[#This Row],[Wert 
(Zahl)]]*Strom[[#This Row],[EF Scope 1 SF6
(kg SF6/Einheit)]],"")</f>
        <v/>
      </c>
      <c r="AY73" s="15" t="str">
        <f>IFERROR(Strom[[#This Row],[Wert 
(Zahl)]]*Strom[[#This Row],[EF Scope 1 NF3
(kg NF3/Einheit)]],"")</f>
        <v/>
      </c>
      <c r="AZ73" s="15" t="str">
        <f>IFERROR(Strom[[#This Row],[Wert 
(Zahl)]]*Strom[[#This Row],[EF Scope 1 Nicht-Kyoto-Gase (kg Nicht-Kyoto-Gase/Einheit)]],"")</f>
        <v/>
      </c>
      <c r="BA73" s="15" t="str">
        <f>IFERROR(Strom[[#This Row],[Wert 
(Zahl)]]*Strom[[#This Row],[EF Scope 2 CO2
(kg CO2/Einheit)]],"")</f>
        <v/>
      </c>
      <c r="BB73" s="15" t="str">
        <f>IFERROR(Strom[[#This Row],[Wert 
(Zahl)]]*Strom[[#This Row],[EF Scope 2 CH4
(kg CH4/Einheit)]],"")</f>
        <v/>
      </c>
      <c r="BC73" s="15" t="str">
        <f>IFERROR(Strom[[#This Row],[Wert 
(Zahl)]]*Strom[[#This Row],[EF Scope 2 N2O
(kg N2O/Einheit)]],"")</f>
        <v/>
      </c>
      <c r="BD73" s="15" t="str">
        <f>IFERROR(Strom[[#This Row],[Wert 
(Zahl)]]*Strom[[#This Row],[EF Scope 2 HFCs
(kg HFCs/Einheit)]],"")</f>
        <v/>
      </c>
      <c r="BE73" s="15" t="str">
        <f>IFERROR(Strom[[#This Row],[Wert 
(Zahl)]]*Strom[[#This Row],[EF Scope 2 PFCs
(kg PFCs/Einheit)]],"")</f>
        <v/>
      </c>
      <c r="BF73" s="15" t="str">
        <f>IFERROR(Strom[[#This Row],[Wert 
(Zahl)]]*Strom[[#This Row],[EF Scope 2 SF6
(kg SF6/Einheit)]],"")</f>
        <v/>
      </c>
      <c r="BG73" s="15" t="str">
        <f>IFERROR(Strom[[#This Row],[Wert 
(Zahl)]]*Strom[[#This Row],[EF Scope 2 NF3
(kg NF3/Einheit)]],"")</f>
        <v/>
      </c>
      <c r="BH73" s="15" t="str">
        <f>IFERROR(Strom[[#This Row],[Wert 
(Zahl)]]*Strom[[#This Row],[EF Scope 2 Nicht-Kyoto-Gase (kg Nicht-Kyoto-Gase/Einheit)]],"")</f>
        <v/>
      </c>
      <c r="BI73" s="15" t="str">
        <f>IF(ISBLANK(Strom[[#This Row],[Wert 
(Zahl)]]),"",IFERROR(Strom[[#This Row],[Scope 1 CO2 '[kg CO2']]]*IFERROR(VLOOKUP("CO2",GWP_100[],3,FALSE),0),0))</f>
        <v/>
      </c>
      <c r="BJ73" s="15" t="str">
        <f>IF(ISBLANK(Strom[[#This Row],[Wert 
(Zahl)]]),"",IFERROR(Strom[[#This Row],[Scope 1 CH4 '[kg CH4']]]*IFERROR(VLOOKUP("CH4",GWP_100[],4,FALSE),0),0))</f>
        <v/>
      </c>
      <c r="BK73" s="15" t="str">
        <f>IF(ISBLANK(Strom[[#This Row],[Wert 
(Zahl)]]),"",IFERROR(Strom[[#This Row],[Scope 1 N2O '[kg N2O']]]*IFERROR(VLOOKUP("N2O",GWP_100[],5,FALSE),0),0))</f>
        <v/>
      </c>
      <c r="BL73" s="15" t="str">
        <f>IF(ISBLANK(Strom[[#This Row],[Wert 
(Zahl)]]),"",IFERROR(Strom[[#This Row],[Scope 1 HFCs '[kg HFCs']]]*IFERROR(VLOOKUP(Strom[[#This Row],[Emissionsquelle/Aktivität (Dropdown)]],GWP_100[],6,FALSE),0),0))</f>
        <v/>
      </c>
      <c r="BM73" s="15" t="str">
        <f>IF(ISBLANK(Strom[[#This Row],[Wert 
(Zahl)]]),"",IFERROR(Strom[[#This Row],[Scope 1 PFCs '[kg PFCs']]]*IFERROR(VLOOKUP(Strom[[#This Row],[Emissionsquelle/Aktivität (Dropdown)]],GWP_100[],7,FALSE),0),0))</f>
        <v/>
      </c>
      <c r="BN73" s="15" t="str">
        <f>IF(ISBLANK(Strom[[#This Row],[Wert 
(Zahl)]]),"",IFERROR(Strom[[#This Row],[Scope 1 SF6 '[kg SF6']]]*IFERROR(VLOOKUP("SF6",GWP_100[],8,FALSE),0),0))</f>
        <v/>
      </c>
      <c r="BO73" s="15" t="str">
        <f>IF(ISBLANK(Strom[[#This Row],[Wert 
(Zahl)]]),"",IFERROR(Strom[[#This Row],[Scope 1 NF3 '[kg NF3']]]*IFERROR(VLOOKUP("NF3",GWP_100[],9,FALSE),0),0))</f>
        <v/>
      </c>
      <c r="BP73" s="15" t="str">
        <f>IF(ISBLANK(Strom[[#This Row],[Wert 
(Zahl)]]),"",IFERROR(Strom[[#This Row],[Scope 1 non-Kyoto '[kg non-Kyoto gas']]]*IFERROR(VLOOKUP(Strom[[#This Row],[Emissionsquelle/Aktivität (Dropdown)]],GWP_100[],10,FALSE),0),0))</f>
        <v/>
      </c>
      <c r="BQ73" s="15" t="str">
        <f>IF(ISBLANK(Strom[[#This Row],[Wert 
(Zahl)]]),"",IFERROR(Strom[[#This Row],[Scope 2 CO2 '[kg CO2']]]*IFERROR(VLOOKUP("CO2",GWP_100[],3,FALSE),0),0))</f>
        <v/>
      </c>
      <c r="BR73" s="15" t="str">
        <f>IF(ISBLANK(Strom[[#This Row],[Wert 
(Zahl)]]),"",IFERROR(Strom[[#This Row],[Scope 2 CH4 '[kg CH4']]]*IFERROR(VLOOKUP("CH4",GWP_100[],4,FALSE),0),0))</f>
        <v/>
      </c>
      <c r="BS73" s="15" t="str">
        <f>IF(ISBLANK(Strom[[#This Row],[Wert 
(Zahl)]]),"",IFERROR(Strom[[#This Row],[Scope 2 N2O '[kg N2O']]]*IFERROR(VLOOKUP("N2O",GWP_100[],5,FALSE),0),0))</f>
        <v/>
      </c>
      <c r="BT73" s="15" t="str">
        <f>IF(ISBLANK(Strom[[#This Row],[Wert 
(Zahl)]]),"",IFERROR(Strom[[#This Row],[Scope 2 HFCs '[kg HFCs']]]*IFERROR(VLOOKUP(Strom[[#This Row],[Emissionsquelle/Aktivität (Dropdown)]],GWP_100[],6,FALSE),0),0))</f>
        <v/>
      </c>
      <c r="BU73" s="15" t="str">
        <f>IF(ISBLANK(Strom[[#This Row],[Wert 
(Zahl)]]),"",IFERROR(Strom[[#This Row],[Scope 2 PFCs '[kg PFCs']]]*IFERROR(VLOOKUP(Strom[[#This Row],[Emissionsquelle/Aktivität (Dropdown)]],GWP_100[],7,FALSE),0),0))</f>
        <v/>
      </c>
      <c r="BV73" s="15" t="str">
        <f>IF(ISBLANK(Strom[[#This Row],[Wert 
(Zahl)]]),"",IFERROR(Strom[[#This Row],[Scope 2 SF6 '[kg SF6']]]*IFERROR(VLOOKUP("SF6",GWP_100[],8,FALSE),0),0))</f>
        <v/>
      </c>
      <c r="BW73" s="15" t="str">
        <f>IF(ISBLANK(Strom[[#This Row],[Wert 
(Zahl)]]),"",IFERROR(Strom[[#This Row],[Scope 2 NF3 '[kg NF3']]]*IFERROR(VLOOKUP("NF3",GWP_100[],9,FALSE),0),0))</f>
        <v/>
      </c>
      <c r="BX73" s="15" t="str">
        <f>IF(ISBLANK(Strom[[#This Row],[Wert 
(Zahl)]]),"",IFERROR(Strom[[#This Row],[Scope 2 non-Kyoto '[kg non-Kyoto gas']]]*IFERROR(VLOOKUP(Strom[[#This Row],[Emissionsquelle/Aktivität (Dropdown)]],GWP_100[],10,FALSE),0),0))</f>
        <v/>
      </c>
    </row>
    <row r="74" spans="2:76" s="89" customFormat="1" x14ac:dyDescent="0.35">
      <c r="B74" s="604"/>
      <c r="C74" s="90" t="str">
        <f t="shared" si="1"/>
        <v>Strom</v>
      </c>
      <c r="D74" s="90"/>
      <c r="E74" s="90"/>
      <c r="F74" s="288"/>
      <c r="G74" s="90" t="str">
        <f>IFERROR(VLOOKUP(Strom[[#This Row],[Thema_Bezeichung]],EFs_Strom[],4,FALSE),"")</f>
        <v/>
      </c>
      <c r="H74" s="90"/>
      <c r="I74" s="90"/>
      <c r="J74" s="90"/>
      <c r="K74" s="90"/>
      <c r="L74" s="290" t="str">
        <f>IF(ISBLANK(Strom[[#This Row],[Wert 
(Zahl)]]),"", SUM(Strom[[#This Row],[Scope 1 CO2e '[kg CO2e']]],Strom[[#This Row],[Scope 2 CO2e '[kg CO2e']]],Strom[[#This Row],[Scope 3 CO2e '[kg CO2e']]]))</f>
        <v/>
      </c>
      <c r="M74" s="290" t="str">
        <f>IF(OR(ISBLANK(Strom[[#This Row],[Wert 
(Zahl)]]),Strom[[#This Row],[Emissionsquelle/Aktivität (Dropdown)]]&lt;&gt;"Strombezug (Deutschland)"),"", SUM(Strom[[#This Row],[Scope 1 CO2e '[kg CO2e']]],Strom[[#This Row],[Scope 2 CO2e market-based '[kg CO2e']]],Strom[[#This Row],[Scope 3 CO2e '[kg CO2e']]]))</f>
        <v/>
      </c>
      <c r="N74" s="159"/>
      <c r="O74" s="94" t="str">
        <f>IF(ISBLANK(Strom[[#This Row],[Emissionsquelle/Aktivität (Dropdown)]]),"",CONCATENATE(Strom[[#This Row],[Sektor_Thema]]," - ",Strom[[#This Row],[Emissionsquelle/Aktivität (Dropdown)]]))</f>
        <v/>
      </c>
      <c r="P74" s="94" t="str">
        <f>IF(ISBLANK(Strom[[#This Row],[Emissionsquelle/Aktivität (Dropdown)]]),"",AND(Strom[[#This Row],[Emissionsquelle/Aktivität (Dropdown)]]="Strombezug (Deutschland)",ISNUMBER(Strom[[#This Row],[Scope-2-Emissionsfaktor Vertragsstrommix
'[g CO2e/kWh']
(falls verfügbar)]])))</f>
        <v/>
      </c>
      <c r="Q74" s="94" t="str">
        <f>IFERROR(VLOOKUP(Strom[[#This Row],[Thema_Bezeichung]],EFs_Strom[],5,FALSE),"")</f>
        <v/>
      </c>
      <c r="R74" s="94" t="str">
        <f>IFERROR(VLOOKUP(Strom[[#This Row],[Thema_Bezeichung]],EFs_Strom[],6,FALSE),"")</f>
        <v/>
      </c>
      <c r="S74" s="94" t="str">
        <f>IFERROR(VLOOKUP(Strom[[#This Row],[Thema_Bezeichung]],EFs_Strom[],7,FALSE),"")</f>
        <v/>
      </c>
      <c r="T74" s="94" t="str">
        <f>IFERROR(VLOOKUP(Strom[[#This Row],[Thema_Bezeichung]],EFs_Strom[],8,FALSE),"")</f>
        <v/>
      </c>
      <c r="U74" s="94" t="str">
        <f>IFERROR(VLOOKUP(Strom[[#This Row],[Thema_Bezeichung]],EFs_Strom[],9,FALSE),"")</f>
        <v/>
      </c>
      <c r="V74" s="94" t="str">
        <f>IFERROR(VLOOKUP(Strom[[#This Row],[Thema_Bezeichung]],EFs_Strom[],10,FALSE),"")</f>
        <v/>
      </c>
      <c r="W74" s="94" t="str">
        <f>IFERROR(VLOOKUP(Strom[[#This Row],[Thema_Bezeichung]],EFs_Strom[],11,FALSE),"")</f>
        <v/>
      </c>
      <c r="X74" s="94" t="str">
        <f>IFERROR(VLOOKUP(Strom[[#This Row],[Thema_Bezeichung]],EFs_Strom[],12,FALSE),"")</f>
        <v/>
      </c>
      <c r="Y74" s="94" t="str">
        <f>IFERROR(VLOOKUP(Strom[[#This Row],[Thema_Bezeichung]],EFs_Strom[],13,FALSE),"")</f>
        <v/>
      </c>
      <c r="Z74" s="94" t="str">
        <f>IFERROR(VLOOKUP(Strom[[#This Row],[Thema_Bezeichung]],EFs_Strom[],14,FALSE),"")</f>
        <v/>
      </c>
      <c r="AA74" s="94" t="str">
        <f>IFERROR(VLOOKUP(Strom[[#This Row],[Thema_Bezeichung]],EFs_Strom[],15,FALSE),"")</f>
        <v/>
      </c>
      <c r="AB74" s="94" t="str">
        <f>IF(Strom[[#This Row],[Vertragsstrommix angegegeben?]]=TRUE,Strom[[#This Row],[Scope-2-Emissionsfaktor Vertragsstrommix
'[g CO2e/kWh']
(falls verfügbar)]]/1000,IFERROR(VLOOKUP(Strom[[#This Row],[Thema_Bezeichung]],EFs_Strom[],15,FALSE),""))</f>
        <v/>
      </c>
      <c r="AC74" s="94" t="str">
        <f>IFERROR(VLOOKUP(Strom[[#This Row],[Thema_Bezeichung]],EFs_Strom[],16,FALSE),"")</f>
        <v/>
      </c>
      <c r="AD74" s="94" t="str">
        <f>IFERROR(VLOOKUP(Strom[[#This Row],[Thema_Bezeichung]],EFs_Strom[],17,FALSE),"")</f>
        <v/>
      </c>
      <c r="AE74" s="94" t="str">
        <f>IFERROR(VLOOKUP(Strom[[#This Row],[Thema_Bezeichung]],EFs_Strom[],18,FALSE),"")</f>
        <v/>
      </c>
      <c r="AF74" s="94" t="str">
        <f>IFERROR(VLOOKUP(Strom[[#This Row],[Thema_Bezeichung]],EFs_Strom[],19,FALSE),"")</f>
        <v/>
      </c>
      <c r="AG74" s="94" t="str">
        <f>IFERROR(VLOOKUP(Strom[[#This Row],[Thema_Bezeichung]],EFs_Strom[],20,FALSE),"")</f>
        <v/>
      </c>
      <c r="AH74" s="94" t="str">
        <f>IFERROR(VLOOKUP(Strom[[#This Row],[Thema_Bezeichung]],EFs_Strom[],21,FALSE),"")</f>
        <v/>
      </c>
      <c r="AI74" s="94" t="str">
        <f>IFERROR(VLOOKUP(Strom[[#This Row],[Thema_Bezeichung]],EFs_Strom[],22,FALSE),"")</f>
        <v/>
      </c>
      <c r="AJ74" s="94" t="str">
        <f>IFERROR(VLOOKUP(Strom[[#This Row],[Thema_Bezeichung]],EFs_Strom[],23,FALSE),"")</f>
        <v/>
      </c>
      <c r="AK74" s="94" t="str">
        <f>IFERROR(VLOOKUP(Strom[[#This Row],[Thema_Bezeichung]],EFs_Strom[],24,FALSE),"")</f>
        <v/>
      </c>
      <c r="AL74" s="94" t="str">
        <f>IFERROR(VLOOKUP(Strom[[#This Row],[Thema_Bezeichung]],EFs_Strom[],30,FALSE),"")</f>
        <v/>
      </c>
      <c r="AM74" s="94" t="str">
        <f>IFERROR(Strom[[#This Row],[Wert 
(Zahl)]]*Strom[[#This Row],[EF Scope 1 CO2e
(kg CO2e/Einheit)]],"")</f>
        <v/>
      </c>
      <c r="AN74" s="94" t="str">
        <f>IFERROR(Strom[[#This Row],[Wert 
(Zahl)]]*Strom[[#This Row],[EF Scope 2 CO2e
(kg CO2e/Einheit)]],"")</f>
        <v/>
      </c>
      <c r="AO74" s="94" t="str">
        <f>IFERROR(Strom[[#This Row],[Wert 
(Zahl)]]*Strom[[#This Row],[EF Scope 3 CO2e
(kg CO2e/Einheit)]],"")</f>
        <v/>
      </c>
      <c r="AP74" s="94" t="str">
        <f>IFERROR(Strom[[#This Row],[Wert 
(Zahl)]]*Strom[[#This Row],[EF Scope 1 CO2 biogen
(kg CO2 /Einheit)]],"")</f>
        <v/>
      </c>
      <c r="AQ74" s="94" t="str">
        <f>IFERROR(Strom[[#This Row],[Wert 
(Zahl)]]*Strom[[#This Row],[Scope 2 Emissionsfaktor market-based '[kg CO2e/Einheit']]],"")</f>
        <v/>
      </c>
      <c r="AR74" s="94" t="str">
        <f>IFERROR(Strom[[#This Row],[Vermeidungsfaktor '[kg CO2e/Einheit']]]*Strom[[#This Row],[Wert 
(Zahl)]],"")</f>
        <v/>
      </c>
      <c r="AS74" s="94" t="str">
        <f>IFERROR(Strom[[#This Row],[Wert 
(Zahl)]]*Strom[[#This Row],[EF Scope 1 CO2
(kg CO2/Einheit)]],"")</f>
        <v/>
      </c>
      <c r="AT74" s="94" t="str">
        <f>IFERROR(Strom[[#This Row],[Wert 
(Zahl)]]*Strom[[#This Row],[EF Scope 1 CH4
(kg CH4/Einheit)]],"")</f>
        <v/>
      </c>
      <c r="AU74" s="94" t="str">
        <f>IFERROR(Strom[[#This Row],[Wert 
(Zahl)]]*Strom[[#This Row],[EF Scope 1 N2O
(kg N2O/Einheit)]],"")</f>
        <v/>
      </c>
      <c r="AV74" s="94" t="str">
        <f>IFERROR(Strom[[#This Row],[Wert 
(Zahl)]]*Strom[[#This Row],[EF Scope 1 HFCs
(kg HFCs/Einheit)]],"")</f>
        <v/>
      </c>
      <c r="AW74" s="94" t="str">
        <f>IFERROR(Strom[[#This Row],[Wert 
(Zahl)]]*Strom[[#This Row],[EF Scope 1 PFCs
(kg PFCs/Einheit)]],"")</f>
        <v/>
      </c>
      <c r="AX74" s="94" t="str">
        <f>IFERROR(Strom[[#This Row],[Wert 
(Zahl)]]*Strom[[#This Row],[EF Scope 1 SF6
(kg SF6/Einheit)]],"")</f>
        <v/>
      </c>
      <c r="AY74" s="94" t="str">
        <f>IFERROR(Strom[[#This Row],[Wert 
(Zahl)]]*Strom[[#This Row],[EF Scope 1 NF3
(kg NF3/Einheit)]],"")</f>
        <v/>
      </c>
      <c r="AZ74" s="94" t="str">
        <f>IFERROR(Strom[[#This Row],[Wert 
(Zahl)]]*Strom[[#This Row],[EF Scope 1 Nicht-Kyoto-Gase (kg Nicht-Kyoto-Gase/Einheit)]],"")</f>
        <v/>
      </c>
      <c r="BA74" s="94" t="str">
        <f>IFERROR(Strom[[#This Row],[Wert 
(Zahl)]]*Strom[[#This Row],[EF Scope 2 CO2
(kg CO2/Einheit)]],"")</f>
        <v/>
      </c>
      <c r="BB74" s="94" t="str">
        <f>IFERROR(Strom[[#This Row],[Wert 
(Zahl)]]*Strom[[#This Row],[EF Scope 2 CH4
(kg CH4/Einheit)]],"")</f>
        <v/>
      </c>
      <c r="BC74" s="94" t="str">
        <f>IFERROR(Strom[[#This Row],[Wert 
(Zahl)]]*Strom[[#This Row],[EF Scope 2 N2O
(kg N2O/Einheit)]],"")</f>
        <v/>
      </c>
      <c r="BD74" s="94" t="str">
        <f>IFERROR(Strom[[#This Row],[Wert 
(Zahl)]]*Strom[[#This Row],[EF Scope 2 HFCs
(kg HFCs/Einheit)]],"")</f>
        <v/>
      </c>
      <c r="BE74" s="94" t="str">
        <f>IFERROR(Strom[[#This Row],[Wert 
(Zahl)]]*Strom[[#This Row],[EF Scope 2 PFCs
(kg PFCs/Einheit)]],"")</f>
        <v/>
      </c>
      <c r="BF74" s="94" t="str">
        <f>IFERROR(Strom[[#This Row],[Wert 
(Zahl)]]*Strom[[#This Row],[EF Scope 2 SF6
(kg SF6/Einheit)]],"")</f>
        <v/>
      </c>
      <c r="BG74" s="94" t="str">
        <f>IFERROR(Strom[[#This Row],[Wert 
(Zahl)]]*Strom[[#This Row],[EF Scope 2 NF3
(kg NF3/Einheit)]],"")</f>
        <v/>
      </c>
      <c r="BH74" s="94" t="str">
        <f>IFERROR(Strom[[#This Row],[Wert 
(Zahl)]]*Strom[[#This Row],[EF Scope 2 Nicht-Kyoto-Gase (kg Nicht-Kyoto-Gase/Einheit)]],"")</f>
        <v/>
      </c>
      <c r="BI74" s="94" t="str">
        <f>IF(ISBLANK(Strom[[#This Row],[Wert 
(Zahl)]]),"",IFERROR(Strom[[#This Row],[Scope 1 CO2 '[kg CO2']]]*IFERROR(VLOOKUP("CO2",GWP_100[],3,FALSE),0),0))</f>
        <v/>
      </c>
      <c r="BJ74" s="94" t="str">
        <f>IF(ISBLANK(Strom[[#This Row],[Wert 
(Zahl)]]),"",IFERROR(Strom[[#This Row],[Scope 1 CH4 '[kg CH4']]]*IFERROR(VLOOKUP("CH4",GWP_100[],4,FALSE),0),0))</f>
        <v/>
      </c>
      <c r="BK74" s="94" t="str">
        <f>IF(ISBLANK(Strom[[#This Row],[Wert 
(Zahl)]]),"",IFERROR(Strom[[#This Row],[Scope 1 N2O '[kg N2O']]]*IFERROR(VLOOKUP("N2O",GWP_100[],5,FALSE),0),0))</f>
        <v/>
      </c>
      <c r="BL74" s="94" t="str">
        <f>IF(ISBLANK(Strom[[#This Row],[Wert 
(Zahl)]]),"",IFERROR(Strom[[#This Row],[Scope 1 HFCs '[kg HFCs']]]*IFERROR(VLOOKUP(Strom[[#This Row],[Emissionsquelle/Aktivität (Dropdown)]],GWP_100[],6,FALSE),0),0))</f>
        <v/>
      </c>
      <c r="BM74" s="94" t="str">
        <f>IF(ISBLANK(Strom[[#This Row],[Wert 
(Zahl)]]),"",IFERROR(Strom[[#This Row],[Scope 1 PFCs '[kg PFCs']]]*IFERROR(VLOOKUP(Strom[[#This Row],[Emissionsquelle/Aktivität (Dropdown)]],GWP_100[],7,FALSE),0),0))</f>
        <v/>
      </c>
      <c r="BN74" s="94" t="str">
        <f>IF(ISBLANK(Strom[[#This Row],[Wert 
(Zahl)]]),"",IFERROR(Strom[[#This Row],[Scope 1 SF6 '[kg SF6']]]*IFERROR(VLOOKUP("SF6",GWP_100[],8,FALSE),0),0))</f>
        <v/>
      </c>
      <c r="BO74" s="94" t="str">
        <f>IF(ISBLANK(Strom[[#This Row],[Wert 
(Zahl)]]),"",IFERROR(Strom[[#This Row],[Scope 1 NF3 '[kg NF3']]]*IFERROR(VLOOKUP("NF3",GWP_100[],9,FALSE),0),0))</f>
        <v/>
      </c>
      <c r="BP74" s="94" t="str">
        <f>IF(ISBLANK(Strom[[#This Row],[Wert 
(Zahl)]]),"",IFERROR(Strom[[#This Row],[Scope 1 non-Kyoto '[kg non-Kyoto gas']]]*IFERROR(VLOOKUP(Strom[[#This Row],[Emissionsquelle/Aktivität (Dropdown)]],GWP_100[],10,FALSE),0),0))</f>
        <v/>
      </c>
      <c r="BQ74" s="94" t="str">
        <f>IF(ISBLANK(Strom[[#This Row],[Wert 
(Zahl)]]),"",IFERROR(Strom[[#This Row],[Scope 2 CO2 '[kg CO2']]]*IFERROR(VLOOKUP("CO2",GWP_100[],3,FALSE),0),0))</f>
        <v/>
      </c>
      <c r="BR74" s="94" t="str">
        <f>IF(ISBLANK(Strom[[#This Row],[Wert 
(Zahl)]]),"",IFERROR(Strom[[#This Row],[Scope 2 CH4 '[kg CH4']]]*IFERROR(VLOOKUP("CH4",GWP_100[],4,FALSE),0),0))</f>
        <v/>
      </c>
      <c r="BS74" s="94" t="str">
        <f>IF(ISBLANK(Strom[[#This Row],[Wert 
(Zahl)]]),"",IFERROR(Strom[[#This Row],[Scope 2 N2O '[kg N2O']]]*IFERROR(VLOOKUP("N2O",GWP_100[],5,FALSE),0),0))</f>
        <v/>
      </c>
      <c r="BT74" s="94" t="str">
        <f>IF(ISBLANK(Strom[[#This Row],[Wert 
(Zahl)]]),"",IFERROR(Strom[[#This Row],[Scope 2 HFCs '[kg HFCs']]]*IFERROR(VLOOKUP(Strom[[#This Row],[Emissionsquelle/Aktivität (Dropdown)]],GWP_100[],6,FALSE),0),0))</f>
        <v/>
      </c>
      <c r="BU74" s="94" t="str">
        <f>IF(ISBLANK(Strom[[#This Row],[Wert 
(Zahl)]]),"",IFERROR(Strom[[#This Row],[Scope 2 PFCs '[kg PFCs']]]*IFERROR(VLOOKUP(Strom[[#This Row],[Emissionsquelle/Aktivität (Dropdown)]],GWP_100[],7,FALSE),0),0))</f>
        <v/>
      </c>
      <c r="BV74" s="94" t="str">
        <f>IF(ISBLANK(Strom[[#This Row],[Wert 
(Zahl)]]),"",IFERROR(Strom[[#This Row],[Scope 2 SF6 '[kg SF6']]]*IFERROR(VLOOKUP("SF6",GWP_100[],8,FALSE),0),0))</f>
        <v/>
      </c>
      <c r="BW74" s="94" t="str">
        <f>IF(ISBLANK(Strom[[#This Row],[Wert 
(Zahl)]]),"",IFERROR(Strom[[#This Row],[Scope 2 NF3 '[kg NF3']]]*IFERROR(VLOOKUP("NF3",GWP_100[],9,FALSE),0),0))</f>
        <v/>
      </c>
      <c r="BX74" s="94" t="str">
        <f>IF(ISBLANK(Strom[[#This Row],[Wert 
(Zahl)]]),"",IFERROR(Strom[[#This Row],[Scope 2 non-Kyoto '[kg non-Kyoto gas']]]*IFERROR(VLOOKUP(Strom[[#This Row],[Emissionsquelle/Aktivität (Dropdown)]],GWP_100[],10,FALSE),0),0))</f>
        <v/>
      </c>
    </row>
    <row r="75" spans="2:76" s="89" customFormat="1" ht="15" thickBot="1" x14ac:dyDescent="0.4">
      <c r="B75" s="605"/>
      <c r="C75" s="90" t="str">
        <f t="shared" si="1"/>
        <v>Strom</v>
      </c>
      <c r="D75" s="90"/>
      <c r="E75" s="90"/>
      <c r="F75" s="288"/>
      <c r="G75" s="90" t="str">
        <f>IFERROR(VLOOKUP(Strom[[#This Row],[Thema_Bezeichung]],EFs_Strom[],4,FALSE),"")</f>
        <v/>
      </c>
      <c r="H75" s="90"/>
      <c r="I75" s="90"/>
      <c r="J75" s="90"/>
      <c r="K75" s="90"/>
      <c r="L75" s="290" t="str">
        <f>IF(ISBLANK(Strom[[#This Row],[Wert 
(Zahl)]]),"", SUM(Strom[[#This Row],[Scope 1 CO2e '[kg CO2e']]],Strom[[#This Row],[Scope 2 CO2e '[kg CO2e']]],Strom[[#This Row],[Scope 3 CO2e '[kg CO2e']]]))</f>
        <v/>
      </c>
      <c r="M75" s="290" t="str">
        <f>IF(OR(ISBLANK(Strom[[#This Row],[Wert 
(Zahl)]]),Strom[[#This Row],[Emissionsquelle/Aktivität (Dropdown)]]&lt;&gt;"Strombezug (Deutschland)"),"", SUM(Strom[[#This Row],[Scope 1 CO2e '[kg CO2e']]],Strom[[#This Row],[Scope 2 CO2e market-based '[kg CO2e']]],Strom[[#This Row],[Scope 3 CO2e '[kg CO2e']]]))</f>
        <v/>
      </c>
      <c r="N75" s="159"/>
      <c r="O75" s="94" t="str">
        <f>IF(ISBLANK(Strom[[#This Row],[Emissionsquelle/Aktivität (Dropdown)]]),"",CONCATENATE(Strom[[#This Row],[Sektor_Thema]]," - ",Strom[[#This Row],[Emissionsquelle/Aktivität (Dropdown)]]))</f>
        <v/>
      </c>
      <c r="P75" s="94" t="str">
        <f>IF(ISBLANK(Strom[[#This Row],[Emissionsquelle/Aktivität (Dropdown)]]),"",AND(Strom[[#This Row],[Emissionsquelle/Aktivität (Dropdown)]]="Strombezug (Deutschland)",ISNUMBER(Strom[[#This Row],[Scope-2-Emissionsfaktor Vertragsstrommix
'[g CO2e/kWh']
(falls verfügbar)]])))</f>
        <v/>
      </c>
      <c r="Q75" s="94" t="str">
        <f>IFERROR(VLOOKUP(Strom[[#This Row],[Thema_Bezeichung]],EFs_Strom[],5,FALSE),"")</f>
        <v/>
      </c>
      <c r="R75" s="94" t="str">
        <f>IFERROR(VLOOKUP(Strom[[#This Row],[Thema_Bezeichung]],EFs_Strom[],6,FALSE),"")</f>
        <v/>
      </c>
      <c r="S75" s="94" t="str">
        <f>IFERROR(VLOOKUP(Strom[[#This Row],[Thema_Bezeichung]],EFs_Strom[],7,FALSE),"")</f>
        <v/>
      </c>
      <c r="T75" s="94" t="str">
        <f>IFERROR(VLOOKUP(Strom[[#This Row],[Thema_Bezeichung]],EFs_Strom[],8,FALSE),"")</f>
        <v/>
      </c>
      <c r="U75" s="94" t="str">
        <f>IFERROR(VLOOKUP(Strom[[#This Row],[Thema_Bezeichung]],EFs_Strom[],9,FALSE),"")</f>
        <v/>
      </c>
      <c r="V75" s="94" t="str">
        <f>IFERROR(VLOOKUP(Strom[[#This Row],[Thema_Bezeichung]],EFs_Strom[],10,FALSE),"")</f>
        <v/>
      </c>
      <c r="W75" s="94" t="str">
        <f>IFERROR(VLOOKUP(Strom[[#This Row],[Thema_Bezeichung]],EFs_Strom[],11,FALSE),"")</f>
        <v/>
      </c>
      <c r="X75" s="94" t="str">
        <f>IFERROR(VLOOKUP(Strom[[#This Row],[Thema_Bezeichung]],EFs_Strom[],12,FALSE),"")</f>
        <v/>
      </c>
      <c r="Y75" s="94" t="str">
        <f>IFERROR(VLOOKUP(Strom[[#This Row],[Thema_Bezeichung]],EFs_Strom[],13,FALSE),"")</f>
        <v/>
      </c>
      <c r="Z75" s="94" t="str">
        <f>IFERROR(VLOOKUP(Strom[[#This Row],[Thema_Bezeichung]],EFs_Strom[],14,FALSE),"")</f>
        <v/>
      </c>
      <c r="AA75" s="94" t="str">
        <f>IFERROR(VLOOKUP(Strom[[#This Row],[Thema_Bezeichung]],EFs_Strom[],15,FALSE),"")</f>
        <v/>
      </c>
      <c r="AB75" s="94" t="str">
        <f>IF(Strom[[#This Row],[Vertragsstrommix angegegeben?]]=TRUE,Strom[[#This Row],[Scope-2-Emissionsfaktor Vertragsstrommix
'[g CO2e/kWh']
(falls verfügbar)]]/1000,IFERROR(VLOOKUP(Strom[[#This Row],[Thema_Bezeichung]],EFs_Strom[],15,FALSE),""))</f>
        <v/>
      </c>
      <c r="AC75" s="94" t="str">
        <f>IFERROR(VLOOKUP(Strom[[#This Row],[Thema_Bezeichung]],EFs_Strom[],16,FALSE),"")</f>
        <v/>
      </c>
      <c r="AD75" s="94" t="str">
        <f>IFERROR(VLOOKUP(Strom[[#This Row],[Thema_Bezeichung]],EFs_Strom[],17,FALSE),"")</f>
        <v/>
      </c>
      <c r="AE75" s="94" t="str">
        <f>IFERROR(VLOOKUP(Strom[[#This Row],[Thema_Bezeichung]],EFs_Strom[],18,FALSE),"")</f>
        <v/>
      </c>
      <c r="AF75" s="94" t="str">
        <f>IFERROR(VLOOKUP(Strom[[#This Row],[Thema_Bezeichung]],EFs_Strom[],19,FALSE),"")</f>
        <v/>
      </c>
      <c r="AG75" s="94" t="str">
        <f>IFERROR(VLOOKUP(Strom[[#This Row],[Thema_Bezeichung]],EFs_Strom[],20,FALSE),"")</f>
        <v/>
      </c>
      <c r="AH75" s="94" t="str">
        <f>IFERROR(VLOOKUP(Strom[[#This Row],[Thema_Bezeichung]],EFs_Strom[],21,FALSE),"")</f>
        <v/>
      </c>
      <c r="AI75" s="94" t="str">
        <f>IFERROR(VLOOKUP(Strom[[#This Row],[Thema_Bezeichung]],EFs_Strom[],22,FALSE),"")</f>
        <v/>
      </c>
      <c r="AJ75" s="94" t="str">
        <f>IFERROR(VLOOKUP(Strom[[#This Row],[Thema_Bezeichung]],EFs_Strom[],23,FALSE),"")</f>
        <v/>
      </c>
      <c r="AK75" s="94" t="str">
        <f>IFERROR(VLOOKUP(Strom[[#This Row],[Thema_Bezeichung]],EFs_Strom[],24,FALSE),"")</f>
        <v/>
      </c>
      <c r="AL75" s="94" t="str">
        <f>IFERROR(VLOOKUP(Strom[[#This Row],[Thema_Bezeichung]],EFs_Strom[],30,FALSE),"")</f>
        <v/>
      </c>
      <c r="AM75" s="94" t="str">
        <f>IFERROR(Strom[[#This Row],[Wert 
(Zahl)]]*Strom[[#This Row],[EF Scope 1 CO2e
(kg CO2e/Einheit)]],"")</f>
        <v/>
      </c>
      <c r="AN75" s="94" t="str">
        <f>IFERROR(Strom[[#This Row],[Wert 
(Zahl)]]*Strom[[#This Row],[EF Scope 2 CO2e
(kg CO2e/Einheit)]],"")</f>
        <v/>
      </c>
      <c r="AO75" s="94" t="str">
        <f>IFERROR(Strom[[#This Row],[Wert 
(Zahl)]]*Strom[[#This Row],[EF Scope 3 CO2e
(kg CO2e/Einheit)]],"")</f>
        <v/>
      </c>
      <c r="AP75" s="94" t="str">
        <f>IFERROR(Strom[[#This Row],[Wert 
(Zahl)]]*Strom[[#This Row],[EF Scope 1 CO2 biogen
(kg CO2 /Einheit)]],"")</f>
        <v/>
      </c>
      <c r="AQ75" s="94" t="str">
        <f>IFERROR(Strom[[#This Row],[Wert 
(Zahl)]]*Strom[[#This Row],[Scope 2 Emissionsfaktor market-based '[kg CO2e/Einheit']]],"")</f>
        <v/>
      </c>
      <c r="AR75" s="94" t="str">
        <f>IFERROR(Strom[[#This Row],[Vermeidungsfaktor '[kg CO2e/Einheit']]]*Strom[[#This Row],[Wert 
(Zahl)]],"")</f>
        <v/>
      </c>
      <c r="AS75" s="94" t="str">
        <f>IFERROR(Strom[[#This Row],[Wert 
(Zahl)]]*Strom[[#This Row],[EF Scope 1 CO2
(kg CO2/Einheit)]],"")</f>
        <v/>
      </c>
      <c r="AT75" s="94" t="str">
        <f>IFERROR(Strom[[#This Row],[Wert 
(Zahl)]]*Strom[[#This Row],[EF Scope 1 CH4
(kg CH4/Einheit)]],"")</f>
        <v/>
      </c>
      <c r="AU75" s="94" t="str">
        <f>IFERROR(Strom[[#This Row],[Wert 
(Zahl)]]*Strom[[#This Row],[EF Scope 1 N2O
(kg N2O/Einheit)]],"")</f>
        <v/>
      </c>
      <c r="AV75" s="94" t="str">
        <f>IFERROR(Strom[[#This Row],[Wert 
(Zahl)]]*Strom[[#This Row],[EF Scope 1 HFCs
(kg HFCs/Einheit)]],"")</f>
        <v/>
      </c>
      <c r="AW75" s="94" t="str">
        <f>IFERROR(Strom[[#This Row],[Wert 
(Zahl)]]*Strom[[#This Row],[EF Scope 1 PFCs
(kg PFCs/Einheit)]],"")</f>
        <v/>
      </c>
      <c r="AX75" s="94" t="str">
        <f>IFERROR(Strom[[#This Row],[Wert 
(Zahl)]]*Strom[[#This Row],[EF Scope 1 SF6
(kg SF6/Einheit)]],"")</f>
        <v/>
      </c>
      <c r="AY75" s="94" t="str">
        <f>IFERROR(Strom[[#This Row],[Wert 
(Zahl)]]*Strom[[#This Row],[EF Scope 1 NF3
(kg NF3/Einheit)]],"")</f>
        <v/>
      </c>
      <c r="AZ75" s="94" t="str">
        <f>IFERROR(Strom[[#This Row],[Wert 
(Zahl)]]*Strom[[#This Row],[EF Scope 1 Nicht-Kyoto-Gase (kg Nicht-Kyoto-Gase/Einheit)]],"")</f>
        <v/>
      </c>
      <c r="BA75" s="94" t="str">
        <f>IFERROR(Strom[[#This Row],[Wert 
(Zahl)]]*Strom[[#This Row],[EF Scope 2 CO2
(kg CO2/Einheit)]],"")</f>
        <v/>
      </c>
      <c r="BB75" s="94" t="str">
        <f>IFERROR(Strom[[#This Row],[Wert 
(Zahl)]]*Strom[[#This Row],[EF Scope 2 CH4
(kg CH4/Einheit)]],"")</f>
        <v/>
      </c>
      <c r="BC75" s="94" t="str">
        <f>IFERROR(Strom[[#This Row],[Wert 
(Zahl)]]*Strom[[#This Row],[EF Scope 2 N2O
(kg N2O/Einheit)]],"")</f>
        <v/>
      </c>
      <c r="BD75" s="94" t="str">
        <f>IFERROR(Strom[[#This Row],[Wert 
(Zahl)]]*Strom[[#This Row],[EF Scope 2 HFCs
(kg HFCs/Einheit)]],"")</f>
        <v/>
      </c>
      <c r="BE75" s="94" t="str">
        <f>IFERROR(Strom[[#This Row],[Wert 
(Zahl)]]*Strom[[#This Row],[EF Scope 2 PFCs
(kg PFCs/Einheit)]],"")</f>
        <v/>
      </c>
      <c r="BF75" s="94" t="str">
        <f>IFERROR(Strom[[#This Row],[Wert 
(Zahl)]]*Strom[[#This Row],[EF Scope 2 SF6
(kg SF6/Einheit)]],"")</f>
        <v/>
      </c>
      <c r="BG75" s="94" t="str">
        <f>IFERROR(Strom[[#This Row],[Wert 
(Zahl)]]*Strom[[#This Row],[EF Scope 2 NF3
(kg NF3/Einheit)]],"")</f>
        <v/>
      </c>
      <c r="BH75" s="94" t="str">
        <f>IFERROR(Strom[[#This Row],[Wert 
(Zahl)]]*Strom[[#This Row],[EF Scope 2 Nicht-Kyoto-Gase (kg Nicht-Kyoto-Gase/Einheit)]],"")</f>
        <v/>
      </c>
      <c r="BI75" s="94" t="str">
        <f>IF(ISBLANK(Strom[[#This Row],[Wert 
(Zahl)]]),"",IFERROR(Strom[[#This Row],[Scope 1 CO2 '[kg CO2']]]*IFERROR(VLOOKUP("CO2",GWP_100[],3,FALSE),0),0))</f>
        <v/>
      </c>
      <c r="BJ75" s="94" t="str">
        <f>IF(ISBLANK(Strom[[#This Row],[Wert 
(Zahl)]]),"",IFERROR(Strom[[#This Row],[Scope 1 CH4 '[kg CH4']]]*IFERROR(VLOOKUP("CH4",GWP_100[],4,FALSE),0),0))</f>
        <v/>
      </c>
      <c r="BK75" s="94" t="str">
        <f>IF(ISBLANK(Strom[[#This Row],[Wert 
(Zahl)]]),"",IFERROR(Strom[[#This Row],[Scope 1 N2O '[kg N2O']]]*IFERROR(VLOOKUP("N2O",GWP_100[],5,FALSE),0),0))</f>
        <v/>
      </c>
      <c r="BL75" s="94" t="str">
        <f>IF(ISBLANK(Strom[[#This Row],[Wert 
(Zahl)]]),"",IFERROR(Strom[[#This Row],[Scope 1 HFCs '[kg HFCs']]]*IFERROR(VLOOKUP(Strom[[#This Row],[Emissionsquelle/Aktivität (Dropdown)]],GWP_100[],6,FALSE),0),0))</f>
        <v/>
      </c>
      <c r="BM75" s="94" t="str">
        <f>IF(ISBLANK(Strom[[#This Row],[Wert 
(Zahl)]]),"",IFERROR(Strom[[#This Row],[Scope 1 PFCs '[kg PFCs']]]*IFERROR(VLOOKUP(Strom[[#This Row],[Emissionsquelle/Aktivität (Dropdown)]],GWP_100[],7,FALSE),0),0))</f>
        <v/>
      </c>
      <c r="BN75" s="94" t="str">
        <f>IF(ISBLANK(Strom[[#This Row],[Wert 
(Zahl)]]),"",IFERROR(Strom[[#This Row],[Scope 1 SF6 '[kg SF6']]]*IFERROR(VLOOKUP("SF6",GWP_100[],8,FALSE),0),0))</f>
        <v/>
      </c>
      <c r="BO75" s="94" t="str">
        <f>IF(ISBLANK(Strom[[#This Row],[Wert 
(Zahl)]]),"",IFERROR(Strom[[#This Row],[Scope 1 NF3 '[kg NF3']]]*IFERROR(VLOOKUP("NF3",GWP_100[],9,FALSE),0),0))</f>
        <v/>
      </c>
      <c r="BP75" s="94" t="str">
        <f>IF(ISBLANK(Strom[[#This Row],[Wert 
(Zahl)]]),"",IFERROR(Strom[[#This Row],[Scope 1 non-Kyoto '[kg non-Kyoto gas']]]*IFERROR(VLOOKUP(Strom[[#This Row],[Emissionsquelle/Aktivität (Dropdown)]],GWP_100[],10,FALSE),0),0))</f>
        <v/>
      </c>
      <c r="BQ75" s="94" t="str">
        <f>IF(ISBLANK(Strom[[#This Row],[Wert 
(Zahl)]]),"",IFERROR(Strom[[#This Row],[Scope 2 CO2 '[kg CO2']]]*IFERROR(VLOOKUP("CO2",GWP_100[],3,FALSE),0),0))</f>
        <v/>
      </c>
      <c r="BR75" s="94" t="str">
        <f>IF(ISBLANK(Strom[[#This Row],[Wert 
(Zahl)]]),"",IFERROR(Strom[[#This Row],[Scope 2 CH4 '[kg CH4']]]*IFERROR(VLOOKUP("CH4",GWP_100[],4,FALSE),0),0))</f>
        <v/>
      </c>
      <c r="BS75" s="94" t="str">
        <f>IF(ISBLANK(Strom[[#This Row],[Wert 
(Zahl)]]),"",IFERROR(Strom[[#This Row],[Scope 2 N2O '[kg N2O']]]*IFERROR(VLOOKUP("N2O",GWP_100[],5,FALSE),0),0))</f>
        <v/>
      </c>
      <c r="BT75" s="94" t="str">
        <f>IF(ISBLANK(Strom[[#This Row],[Wert 
(Zahl)]]),"",IFERROR(Strom[[#This Row],[Scope 2 HFCs '[kg HFCs']]]*IFERROR(VLOOKUP(Strom[[#This Row],[Emissionsquelle/Aktivität (Dropdown)]],GWP_100[],6,FALSE),0),0))</f>
        <v/>
      </c>
      <c r="BU75" s="94" t="str">
        <f>IF(ISBLANK(Strom[[#This Row],[Wert 
(Zahl)]]),"",IFERROR(Strom[[#This Row],[Scope 2 PFCs '[kg PFCs']]]*IFERROR(VLOOKUP(Strom[[#This Row],[Emissionsquelle/Aktivität (Dropdown)]],GWP_100[],7,FALSE),0),0))</f>
        <v/>
      </c>
      <c r="BV75" s="94" t="str">
        <f>IF(ISBLANK(Strom[[#This Row],[Wert 
(Zahl)]]),"",IFERROR(Strom[[#This Row],[Scope 2 SF6 '[kg SF6']]]*IFERROR(VLOOKUP("SF6",GWP_100[],8,FALSE),0),0))</f>
        <v/>
      </c>
      <c r="BW75" s="94" t="str">
        <f>IF(ISBLANK(Strom[[#This Row],[Wert 
(Zahl)]]),"",IFERROR(Strom[[#This Row],[Scope 2 NF3 '[kg NF3']]]*IFERROR(VLOOKUP("NF3",GWP_100[],9,FALSE),0),0))</f>
        <v/>
      </c>
      <c r="BX75" s="94" t="str">
        <f>IF(ISBLANK(Strom[[#This Row],[Wert 
(Zahl)]]),"",IFERROR(Strom[[#This Row],[Scope 2 non-Kyoto '[kg non-Kyoto gas']]]*IFERROR(VLOOKUP(Strom[[#This Row],[Emissionsquelle/Aktivität (Dropdown)]],GWP_100[],10,FALSE),0),0))</f>
        <v/>
      </c>
    </row>
    <row r="76" spans="2:76" s="2" customFormat="1" ht="15" thickTop="1" x14ac:dyDescent="0.35">
      <c r="B76" s="13"/>
      <c r="D76" s="333" t="s">
        <v>204</v>
      </c>
      <c r="E76" s="333"/>
      <c r="F76" s="333"/>
      <c r="G76" s="333"/>
      <c r="H76" s="333"/>
      <c r="I76" s="333"/>
      <c r="J76" s="333"/>
      <c r="K76" s="333"/>
      <c r="L76" s="286">
        <f>SUBTOTAL(109,Strom[Ergebnis
'[kg CO2e']
(vorausgefüllt)])</f>
        <v>0</v>
      </c>
      <c r="M76" s="712">
        <f>SUBTOTAL(109,Strom[Ergebnis Scope 2 market-based
'[kg CO2e']
(vorausgefüllt)])</f>
        <v>0</v>
      </c>
      <c r="N76" s="160"/>
      <c r="AM76" s="2">
        <f>SUBTOTAL(109,Strom[Scope 1 CO2e '[kg CO2e']])</f>
        <v>0</v>
      </c>
      <c r="AN76" s="2">
        <f>SUBTOTAL(109,Strom[Scope 2 CO2e '[kg CO2e']])</f>
        <v>0</v>
      </c>
      <c r="AO76" s="2">
        <f>SUBTOTAL(109,Strom[Scope 3 CO2e '[kg CO2e']])</f>
        <v>0</v>
      </c>
      <c r="AP76" s="2">
        <f>SUBTOTAL(109,Strom[Scope 1 CO2 biogen '[kg CO2']])</f>
        <v>0</v>
      </c>
      <c r="AQ76" s="2">
        <f>SUBTOTAL(109,Strom[Scope 2 CO2e market-based '[kg CO2e']])</f>
        <v>0</v>
      </c>
      <c r="AR76" s="2">
        <f>SUBTOTAL(109,Strom[Vermiedene Emissionen '[kg CO2e']])</f>
        <v>0</v>
      </c>
      <c r="AS76" s="2">
        <f>SUBTOTAL(109,Strom[Scope 1 CO2 '[kg CO2']])</f>
        <v>0</v>
      </c>
      <c r="AT76" s="2">
        <f>SUBTOTAL(109,Strom[Scope 1 CH4 '[kg CH4']])</f>
        <v>0</v>
      </c>
      <c r="AU76" s="2">
        <f>SUBTOTAL(109,Strom[Scope 1 N2O '[kg N2O']])</f>
        <v>0</v>
      </c>
      <c r="AV76" s="2">
        <f>SUBTOTAL(109,Strom[Scope 1 HFCs '[kg HFCs']])</f>
        <v>0</v>
      </c>
      <c r="AW76" s="2">
        <f>SUBTOTAL(109,Strom[Scope 1 PFCs '[kg PFCs']])</f>
        <v>0</v>
      </c>
      <c r="AX76" s="2">
        <f>SUBTOTAL(109,Strom[Scope 1 SF6 '[kg SF6']])</f>
        <v>0</v>
      </c>
      <c r="AY76" s="2">
        <f>SUBTOTAL(109,Strom[Scope 1 NF3 '[kg NF3']])</f>
        <v>0</v>
      </c>
      <c r="AZ76" s="2">
        <f>SUBTOTAL(109,Strom[Scope 1 non-Kyoto '[kg non-Kyoto gas']])</f>
        <v>0</v>
      </c>
      <c r="BA76" s="2">
        <f>SUBTOTAL(109,Strom[Scope 2 CO2 '[kg CO2']])</f>
        <v>0</v>
      </c>
      <c r="BB76" s="2">
        <f>SUBTOTAL(109,Strom[Scope 2 CH4 '[kg CH4']])</f>
        <v>0</v>
      </c>
      <c r="BC76" s="2">
        <f>SUBTOTAL(109,Strom[Scope 2 N2O '[kg N2O']])</f>
        <v>0</v>
      </c>
      <c r="BD76" s="2">
        <f>SUBTOTAL(109,Strom[Scope 2 HFCs '[kg HFCs']])</f>
        <v>0</v>
      </c>
      <c r="BE76" s="2">
        <f>SUBTOTAL(109,Strom[Scope 2 PFCs '[kg PFCs']])</f>
        <v>0</v>
      </c>
      <c r="BF76" s="2">
        <f>SUBTOTAL(109,Strom[Scope 2 SF6 '[kg SF6']])</f>
        <v>0</v>
      </c>
      <c r="BG76" s="2">
        <f>SUBTOTAL(109,Strom[Scope 2 NF3 '[kg NF3']])</f>
        <v>0</v>
      </c>
      <c r="BH76" s="2">
        <f>SUBTOTAL(109,Strom[Scope 2 non-Kyoto '[kg non-Kyoto gas']])</f>
        <v>0</v>
      </c>
      <c r="BI76" s="2">
        <f>SUBTOTAL(109,Strom[Scope 1 CO2 '[kg CO2e']])</f>
        <v>0</v>
      </c>
      <c r="BJ76" s="2">
        <f>SUBTOTAL(109,Strom[Scope 1 CH4 '[kg CO2e']])</f>
        <v>0</v>
      </c>
      <c r="BK76" s="2">
        <f>SUBTOTAL(109,Strom[Scope 1 N2O '[kg CO2e']])</f>
        <v>0</v>
      </c>
      <c r="BL76" s="2">
        <f>SUBTOTAL(109,Strom[Scope 1 HFCs '[kg CO2e']])</f>
        <v>0</v>
      </c>
      <c r="BM76" s="2">
        <f>SUBTOTAL(109,Strom[Scope 1 PFCs '[kg CO2e']])</f>
        <v>0</v>
      </c>
      <c r="BN76" s="2">
        <f>SUBTOTAL(109,Strom[Scope 1 SF6 '[kg CO2e']])</f>
        <v>0</v>
      </c>
      <c r="BO76" s="2">
        <f>SUBTOTAL(109,Strom[Scope 1 NF3 '[kg CO2e']])</f>
        <v>0</v>
      </c>
      <c r="BP76" s="2">
        <f>SUBTOTAL(109,Strom[Scope 1 non-Kyoto '[kg CO2e']])</f>
        <v>0</v>
      </c>
      <c r="BQ76" s="2">
        <f>SUBTOTAL(109,Strom[Scope 2 CO2 '[kg CO2e']])</f>
        <v>0</v>
      </c>
      <c r="BR76" s="2">
        <f>SUBTOTAL(109,Strom[Scope 2 CH4 '[kg CO2e']])</f>
        <v>0</v>
      </c>
      <c r="BS76" s="2">
        <f>SUBTOTAL(109,Strom[Scope 2 N2O '[kg CO2e']])</f>
        <v>0</v>
      </c>
      <c r="BT76" s="2">
        <f>SUBTOTAL(109,Strom[Scope 2 HFCs '[kg CO2e']])</f>
        <v>0</v>
      </c>
      <c r="BU76" s="2">
        <f>SUBTOTAL(109,Strom[Scope 2 PFCs '[kg CO2e']])</f>
        <v>0</v>
      </c>
      <c r="BV76" s="2">
        <f>SUBTOTAL(109,Strom[Scope 2 SF6 '[kg CO2e']])</f>
        <v>0</v>
      </c>
      <c r="BW76" s="2">
        <f>SUBTOTAL(109,Strom[Scope 2 NF3 '[kg CO2e']])</f>
        <v>0</v>
      </c>
      <c r="BX76" s="2">
        <f>SUBTOTAL(109,Strom[Scope 2 non-Kyoto '[kg CO2e']])</f>
        <v>0</v>
      </c>
    </row>
    <row r="77" spans="2:76" ht="120" customHeight="1" x14ac:dyDescent="0.35">
      <c r="B77" s="183" t="s">
        <v>79</v>
      </c>
    </row>
    <row r="78" spans="2:76" x14ac:dyDescent="0.35">
      <c r="B78" s="127" t="s">
        <v>80</v>
      </c>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row>
    <row r="79" spans="2:76" ht="18.5" x14ac:dyDescent="0.45">
      <c r="B79" s="126" t="s">
        <v>13</v>
      </c>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row>
    <row r="80" spans="2:76" ht="92" customHeight="1" x14ac:dyDescent="0.35">
      <c r="B80" s="273" t="s">
        <v>81</v>
      </c>
      <c r="C80" s="274"/>
      <c r="D80" s="601" t="s">
        <v>567</v>
      </c>
      <c r="E80" s="601"/>
      <c r="F80" s="601"/>
      <c r="G80" s="601"/>
      <c r="H80" s="601"/>
      <c r="I80" s="602"/>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row>
    <row r="81" spans="2:92" x14ac:dyDescent="0.35">
      <c r="C81" t="s">
        <v>49</v>
      </c>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row>
    <row r="82" spans="2:92" ht="44" thickBot="1" x14ac:dyDescent="0.4">
      <c r="B82" s="10"/>
      <c r="C82" s="23" t="s">
        <v>46</v>
      </c>
      <c r="D82" s="151" t="s">
        <v>192</v>
      </c>
      <c r="E82" s="151" t="s">
        <v>65</v>
      </c>
      <c r="F82" s="151" t="s">
        <v>66</v>
      </c>
      <c r="G82" s="96" t="s">
        <v>78</v>
      </c>
      <c r="H82" s="151" t="s">
        <v>120</v>
      </c>
      <c r="I82" s="96" t="s">
        <v>74</v>
      </c>
      <c r="J82" s="96" t="s">
        <v>75</v>
      </c>
      <c r="K82" s="134" t="s">
        <v>281</v>
      </c>
      <c r="L82" s="157" t="s">
        <v>118</v>
      </c>
      <c r="M82" s="407" t="s">
        <v>529</v>
      </c>
      <c r="N82" s="407" t="s">
        <v>424</v>
      </c>
      <c r="O82" s="96" t="s">
        <v>217</v>
      </c>
      <c r="P82" s="97" t="s">
        <v>530</v>
      </c>
      <c r="Q82" s="432" t="s">
        <v>485</v>
      </c>
      <c r="R82" s="96" t="s">
        <v>435</v>
      </c>
      <c r="S82" s="96" t="s">
        <v>436</v>
      </c>
      <c r="T82" s="96" t="s">
        <v>437</v>
      </c>
      <c r="U82" s="96" t="s">
        <v>469</v>
      </c>
      <c r="V82" s="96" t="s">
        <v>468</v>
      </c>
      <c r="W82" s="96" t="s">
        <v>467</v>
      </c>
      <c r="X82" s="96" t="s">
        <v>466</v>
      </c>
      <c r="Y82" s="96" t="s">
        <v>579</v>
      </c>
      <c r="Z82" s="436" t="s">
        <v>438</v>
      </c>
      <c r="AA82" s="432" t="s">
        <v>486</v>
      </c>
      <c r="AB82" s="96" t="s">
        <v>439</v>
      </c>
      <c r="AC82" s="96" t="s">
        <v>440</v>
      </c>
      <c r="AD82" s="96" t="s">
        <v>441</v>
      </c>
      <c r="AE82" s="96" t="s">
        <v>470</v>
      </c>
      <c r="AF82" s="96" t="s">
        <v>471</v>
      </c>
      <c r="AG82" s="96" t="s">
        <v>472</v>
      </c>
      <c r="AH82" s="96" t="s">
        <v>473</v>
      </c>
      <c r="AI82" s="96" t="s">
        <v>580</v>
      </c>
      <c r="AJ82" s="432" t="s">
        <v>487</v>
      </c>
      <c r="AK82" s="134" t="s">
        <v>493</v>
      </c>
      <c r="AL82" s="134" t="s">
        <v>527</v>
      </c>
      <c r="AM82" s="134" t="s">
        <v>528</v>
      </c>
      <c r="AN82" s="435" t="s">
        <v>500</v>
      </c>
      <c r="AO82" s="434" t="s">
        <v>507</v>
      </c>
      <c r="AP82" s="434" t="s">
        <v>506</v>
      </c>
      <c r="AQ82" s="434" t="s">
        <v>504</v>
      </c>
      <c r="AR82" s="434" t="s">
        <v>505</v>
      </c>
      <c r="AS82" s="434" t="s">
        <v>503</v>
      </c>
      <c r="AT82" s="434" t="s">
        <v>502</v>
      </c>
      <c r="AU82" s="434" t="s">
        <v>501</v>
      </c>
      <c r="AV82" s="434" t="s">
        <v>540</v>
      </c>
      <c r="AW82" s="434" t="s">
        <v>508</v>
      </c>
      <c r="AX82" s="434" t="s">
        <v>509</v>
      </c>
      <c r="AY82" s="434" t="s">
        <v>510</v>
      </c>
      <c r="AZ82" s="434" t="s">
        <v>513</v>
      </c>
      <c r="BA82" s="434" t="s">
        <v>514</v>
      </c>
      <c r="BB82" s="434" t="s">
        <v>511</v>
      </c>
      <c r="BC82" s="434" t="s">
        <v>512</v>
      </c>
      <c r="BD82" s="434" t="s">
        <v>541</v>
      </c>
      <c r="BE82" s="433" t="s">
        <v>495</v>
      </c>
      <c r="BF82" s="433" t="s">
        <v>494</v>
      </c>
      <c r="BG82" s="433" t="s">
        <v>496</v>
      </c>
      <c r="BH82" s="433" t="s">
        <v>497</v>
      </c>
      <c r="BI82" s="433" t="s">
        <v>515</v>
      </c>
      <c r="BJ82" s="433" t="s">
        <v>498</v>
      </c>
      <c r="BK82" s="433" t="s">
        <v>499</v>
      </c>
      <c r="BL82" s="433" t="s">
        <v>542</v>
      </c>
      <c r="BM82" s="433" t="s">
        <v>516</v>
      </c>
      <c r="BN82" s="433" t="s">
        <v>517</v>
      </c>
      <c r="BO82" s="433" t="s">
        <v>518</v>
      </c>
      <c r="BP82" s="433" t="s">
        <v>519</v>
      </c>
      <c r="BQ82" s="433" t="s">
        <v>520</v>
      </c>
      <c r="BR82" s="433" t="s">
        <v>521</v>
      </c>
      <c r="BS82" s="433" t="s">
        <v>522</v>
      </c>
      <c r="BT82" s="433" t="s">
        <v>543</v>
      </c>
      <c r="BU82" s="89"/>
      <c r="BV82" s="89"/>
      <c r="BW82" s="89"/>
      <c r="BX82" s="89"/>
      <c r="BY82" s="89"/>
      <c r="BZ82" s="89"/>
      <c r="CA82" s="89"/>
      <c r="CB82" s="89"/>
      <c r="CC82" s="89"/>
      <c r="CD82" s="89"/>
      <c r="CE82" s="89"/>
      <c r="CF82" s="89"/>
      <c r="CG82" s="89"/>
      <c r="CH82" s="89"/>
      <c r="CI82" s="89"/>
      <c r="CJ82" s="89"/>
      <c r="CK82" s="89"/>
      <c r="CL82" s="89"/>
      <c r="CM82" s="89"/>
      <c r="CN82" s="89"/>
    </row>
    <row r="83" spans="2:92" s="89" customFormat="1" ht="15" thickTop="1" x14ac:dyDescent="0.35">
      <c r="B83" s="603" t="s">
        <v>13</v>
      </c>
      <c r="C83" s="10" t="str">
        <f t="shared" ref="C83:C102" si="2">$C$81</f>
        <v>Kühl_und_Kältemittel</v>
      </c>
      <c r="D83" s="90"/>
      <c r="E83" s="90"/>
      <c r="F83" s="288"/>
      <c r="G83" s="10" t="str">
        <f>IFERROR(VLOOKUP(Kühl_und_Kältemittel[[#This Row],[Thema_Bezeichung]],EFs_Kühlmittel[],4,FALSE),"")</f>
        <v/>
      </c>
      <c r="H83" s="90"/>
      <c r="I83" s="90"/>
      <c r="J83" s="90"/>
      <c r="K83" s="284" t="str">
        <f>IF(ISBLANK(Kühl_und_Kältemittel[[#This Row],[Wert 
(Zahl)]]),"", SUM(Kühl_und_Kältemittel[[#This Row],[Scope 1 CO2e '[kg CO2e']]:[Scope 3 CO2e '[kg CO2e']]]))</f>
        <v/>
      </c>
      <c r="L83" s="158"/>
      <c r="M83" s="408"/>
      <c r="N83" s="408"/>
      <c r="O83" s="15" t="str">
        <f>IF(ISBLANK(Kühl_und_Kältemittel[[#This Row],[Emissionsquelle/Aktivität (Dropdown)]]),"",CONCATENATE(Kühl_und_Kältemittel[[#This Row],[Sektor_Thema]]," - ",Kühl_und_Kältemittel[[#This Row],[Emissionsquelle/Aktivität (Dropdown)]]))</f>
        <v/>
      </c>
      <c r="P83" s="15"/>
      <c r="Q83" s="15" t="str">
        <f>IFERROR(VLOOKUP(Kühl_und_Kältemittel[[#This Row],[Thema_Bezeichung]],EFs_Kühlmittel[],5,FALSE),"")</f>
        <v/>
      </c>
      <c r="R83" s="15" t="str">
        <f>IFERROR(VLOOKUP(Kühl_und_Kältemittel[[#This Row],[Thema_Bezeichung]],EFs_Kühlmittel[],6,FALSE),"")</f>
        <v/>
      </c>
      <c r="S83" s="15" t="str">
        <f>IFERROR(VLOOKUP(Kühl_und_Kältemittel[[#This Row],[Thema_Bezeichung]],EFs_Kühlmittel[],7,FALSE),"")</f>
        <v/>
      </c>
      <c r="T83" s="15" t="str">
        <f>IFERROR(VLOOKUP(Kühl_und_Kältemittel[[#This Row],[Thema_Bezeichung]],EFs_Kühlmittel[],8,FALSE),"")</f>
        <v/>
      </c>
      <c r="U83" s="15" t="str">
        <f>IFERROR(VLOOKUP(Kühl_und_Kältemittel[[#This Row],[Thema_Bezeichung]],EFs_Kühlmittel[],9,FALSE),"")</f>
        <v/>
      </c>
      <c r="V83" s="15" t="str">
        <f>IFERROR(VLOOKUP(Kühl_und_Kältemittel[[#This Row],[Thema_Bezeichung]],EFs_Kühlmittel[],10,FALSE),"")</f>
        <v/>
      </c>
      <c r="W83" s="15" t="str">
        <f>IFERROR(VLOOKUP(Kühl_und_Kältemittel[[#This Row],[Thema_Bezeichung]],EFs_Kühlmittel[],11,FALSE),"")</f>
        <v/>
      </c>
      <c r="X83" s="15" t="str">
        <f>IFERROR(VLOOKUP(Kühl_und_Kältemittel[[#This Row],[Thema_Bezeichung]],EFs_Kühlmittel[],12,FALSE),"")</f>
        <v/>
      </c>
      <c r="Y83" s="15" t="str">
        <f>IFERROR(VLOOKUP(Kühl_und_Kältemittel[[#This Row],[Thema_Bezeichung]],EFs_Kühlmittel[],13,FALSE),"")</f>
        <v/>
      </c>
      <c r="Z83" s="15" t="str">
        <f>IFERROR(VLOOKUP(Kühl_und_Kältemittel[[#This Row],[Thema_Bezeichung]],EFs_Kühlmittel[],14,FALSE),"")</f>
        <v/>
      </c>
      <c r="AA83" s="15" t="str">
        <f>IFERROR(VLOOKUP(Kühl_und_Kältemittel[[#This Row],[Thema_Bezeichung]],EFs_Kühlmittel[],15,FALSE),"")</f>
        <v/>
      </c>
      <c r="AB83" s="15" t="str">
        <f>IFERROR(VLOOKUP(Kühl_und_Kältemittel[[#This Row],[Thema_Bezeichung]],EFs_Kühlmittel[],16,FALSE),"")</f>
        <v/>
      </c>
      <c r="AC83" s="15" t="str">
        <f>IFERROR(VLOOKUP(Kühl_und_Kältemittel[[#This Row],[Thema_Bezeichung]],EFs_Kühlmittel[],17,FALSE),"")</f>
        <v/>
      </c>
      <c r="AD83" s="15" t="str">
        <f>IFERROR(VLOOKUP(Kühl_und_Kältemittel[[#This Row],[Thema_Bezeichung]],EFs_Kühlmittel[],18,FALSE),"")</f>
        <v/>
      </c>
      <c r="AE83" s="15" t="str">
        <f>IFERROR(VLOOKUP(Kühl_und_Kältemittel[[#This Row],[Thema_Bezeichung]],EFs_Kühlmittel[],19,FALSE),"")</f>
        <v/>
      </c>
      <c r="AF83" s="15" t="str">
        <f>IFERROR(VLOOKUP(Kühl_und_Kältemittel[[#This Row],[Thema_Bezeichung]],EFs_Kühlmittel[],20,FALSE),"")</f>
        <v/>
      </c>
      <c r="AG83" s="15" t="str">
        <f>IFERROR(VLOOKUP(Kühl_und_Kältemittel[[#This Row],[Thema_Bezeichung]],EFs_Kühlmittel[],21,FALSE),"")</f>
        <v/>
      </c>
      <c r="AH83" s="15" t="str">
        <f>IFERROR(VLOOKUP(Kühl_und_Kältemittel[[#This Row],[Thema_Bezeichung]],EFs_Kühlmittel[],22,FALSE),"")</f>
        <v/>
      </c>
      <c r="AI83" s="15" t="str">
        <f>IFERROR(VLOOKUP(Kühl_und_Kältemittel[[#This Row],[Thema_Bezeichung]],EFs_Kühlmittel[],23,FALSE),"")</f>
        <v/>
      </c>
      <c r="AJ83" s="15" t="str">
        <f>IFERROR(VLOOKUP(Kühl_und_Kältemittel[[#This Row],[Thema_Bezeichung]],EFs_Kühlmittel[],24,FALSE),"")</f>
        <v/>
      </c>
      <c r="AK83" s="15" t="str">
        <f>IFERROR(Kühl_und_Kältemittel[[#This Row],[Wert 
(Zahl)]]*Kühl_und_Kältemittel[[#This Row],[EF Scope 1 CO2e
(kg CO2e/Einheit)]],"")</f>
        <v/>
      </c>
      <c r="AL83" s="15" t="str">
        <f>IFERROR(Kühl_und_Kältemittel[[#This Row],[Wert 
(Zahl)]]*Kühl_und_Kältemittel[[#This Row],[EF Scope 2 CO2e
(kg CO2e/Einheit)]],"")</f>
        <v/>
      </c>
      <c r="AM83" s="15" t="str">
        <f>IFERROR(Kühl_und_Kältemittel[[#This Row],[Wert 
(Zahl)]]*Kühl_und_Kältemittel[[#This Row],[EF Scope 3 CO2e
(kg CO2e/Einheit)]],"")</f>
        <v/>
      </c>
      <c r="AN83" s="15" t="str">
        <f>IFERROR(Kühl_und_Kältemittel[[#This Row],[Wert 
(Zahl)]]*Kühl_und_Kältemittel[[#This Row],[EF Scope 1 CO2 biogen
(kg CO2 /Einheit)]],"")</f>
        <v/>
      </c>
      <c r="AO83" s="15" t="str">
        <f>IFERROR(Kühl_und_Kältemittel[[#This Row],[Wert 
(Zahl)]]*Kühl_und_Kältemittel[[#This Row],[EF Scope 1 CO2
(kg CO2/Einheit)]],"")</f>
        <v/>
      </c>
      <c r="AP83" s="15" t="str">
        <f>IFERROR(Kühl_und_Kältemittel[[#This Row],[Wert 
(Zahl)]]*Kühl_und_Kältemittel[[#This Row],[EF Scope 1 CH4
(kg CH4/Einheit)]],"")</f>
        <v/>
      </c>
      <c r="AQ83" s="15" t="str">
        <f>IFERROR(Kühl_und_Kältemittel[[#This Row],[Wert 
(Zahl)]]*Kühl_und_Kältemittel[[#This Row],[EF Scope 1 N2O
(kg N2O/Einheit)]],"")</f>
        <v/>
      </c>
      <c r="AR83" s="15" t="str">
        <f>IFERROR(Kühl_und_Kältemittel[[#This Row],[Wert 
(Zahl)]]*Kühl_und_Kältemittel[[#This Row],[EF Scope 1 HFCs
(kg HFCs/Einheit)]],"")</f>
        <v/>
      </c>
      <c r="AS83" s="15" t="str">
        <f>IFERROR(Kühl_und_Kältemittel[[#This Row],[Wert 
(Zahl)]]*Kühl_und_Kältemittel[[#This Row],[EF Scope 1 PFCs
(kg PFCs/Einheit)]],"")</f>
        <v/>
      </c>
      <c r="AT83" s="15" t="str">
        <f>IFERROR(Kühl_und_Kältemittel[[#This Row],[Wert 
(Zahl)]]*Kühl_und_Kältemittel[[#This Row],[EF Scope 1 SF6
(kg SF6/Einheit)]],"")</f>
        <v/>
      </c>
      <c r="AU83" s="15" t="str">
        <f>IFERROR(Kühl_und_Kältemittel[[#This Row],[Wert 
(Zahl)]]*Kühl_und_Kältemittel[[#This Row],[EF Scope 1 NF3
(kg NF3/Einheit)]],"")</f>
        <v/>
      </c>
      <c r="AV83" s="15" t="str">
        <f>IFERROR(Kühl_und_Kältemittel[[#This Row],[Wert 
(Zahl)]]*Kühl_und_Kältemittel[[#This Row],[EF Scope 1 Nicht-Kyoto-Gase (kg Nicht-Kyoto-Gase/Einheit)]],"")</f>
        <v/>
      </c>
      <c r="AW83" s="15" t="str">
        <f>IFERROR(Kühl_und_Kältemittel[[#This Row],[Wert 
(Zahl)]]*Kühl_und_Kältemittel[[#This Row],[EF Scope 2 CO2
(kg CO2/Einheit)]],"")</f>
        <v/>
      </c>
      <c r="AX83" s="15" t="str">
        <f>IFERROR(Kühl_und_Kältemittel[[#This Row],[Wert 
(Zahl)]]*Kühl_und_Kältemittel[[#This Row],[EF Scope 2 CH4
(kg CH4/Einheit)]],"")</f>
        <v/>
      </c>
      <c r="AY83" s="15" t="str">
        <f>IFERROR(Kühl_und_Kältemittel[[#This Row],[Wert 
(Zahl)]]*Kühl_und_Kältemittel[[#This Row],[EF Scope 2 N2O
(kg N2O/Einheit)]],"")</f>
        <v/>
      </c>
      <c r="AZ83" s="15" t="str">
        <f>IFERROR(Kühl_und_Kältemittel[[#This Row],[Wert 
(Zahl)]]*Kühl_und_Kältemittel[[#This Row],[EF Scope 2 HFCs
(kg HFCs/Einheit)]],"")</f>
        <v/>
      </c>
      <c r="BA83" s="15" t="str">
        <f>IFERROR(Kühl_und_Kältemittel[[#This Row],[Wert 
(Zahl)]]*Kühl_und_Kältemittel[[#This Row],[EF Scope 2 PFCs
(kg PFCs/Einheit)]],"")</f>
        <v/>
      </c>
      <c r="BB83" s="15" t="str">
        <f>IFERROR(Kühl_und_Kältemittel[[#This Row],[Wert 
(Zahl)]]*Kühl_und_Kältemittel[[#This Row],[EF Scope 2 SF6
(kg SF6/Einheit)]],"")</f>
        <v/>
      </c>
      <c r="BC83" s="15" t="str">
        <f>IFERROR(Kühl_und_Kältemittel[[#This Row],[Wert 
(Zahl)]]*Kühl_und_Kältemittel[[#This Row],[EF Scope 2 NF3
(kg NF3/Einheit)]],"")</f>
        <v/>
      </c>
      <c r="BD83" s="15" t="str">
        <f>IFERROR(Kühl_und_Kältemittel[[#This Row],[Wert 
(Zahl)]]*Kühl_und_Kältemittel[[#This Row],[EF Scope 2 Nicht-Kyoto-Gase (kg Nicht-Kyoto-Gase/Einheit)]],"")</f>
        <v/>
      </c>
      <c r="BE83" s="10" t="str">
        <f>IF(ISBLANK(Kühl_und_Kältemittel[[#This Row],[Wert 
(Zahl)]]),"",IFERROR(Kühl_und_Kältemittel[[#This Row],[Scope 1 CO2 '[kg CO2']]]*IFERROR(VLOOKUP("CO2",GWP_100[],3,FALSE),0),0))</f>
        <v/>
      </c>
      <c r="BF83" s="10" t="str">
        <f>IF(ISBLANK(Kühl_und_Kältemittel[[#This Row],[Wert 
(Zahl)]]),"",IFERROR(Kühl_und_Kältemittel[[#This Row],[Scope 1 CH4 '[kg CH4']]]*IFERROR(VLOOKUP("CH4",GWP_100[],4,FALSE),0),0))</f>
        <v/>
      </c>
      <c r="BG83" s="10" t="str">
        <f>IF(ISBLANK(Kühl_und_Kältemittel[[#This Row],[Wert 
(Zahl)]]),"",IFERROR(Kühl_und_Kältemittel[[#This Row],[Scope 1 N2O '[kg N2O']]]*IFERROR(VLOOKUP("N2O",GWP_100[],5,FALSE),0),0))</f>
        <v/>
      </c>
      <c r="BH83" s="10" t="str">
        <f>IF(ISBLANK(Kühl_und_Kältemittel[[#This Row],[Wert 
(Zahl)]]),"",IFERROR(Kühl_und_Kältemittel[[#This Row],[Scope 1 HFCs '[kg HFCs']]]*IFERROR(VLOOKUP(Kühl_und_Kältemittel[[#This Row],[Emissionsquelle/Aktivität (Dropdown)]],GWP_100[],6,FALSE),0),0))</f>
        <v/>
      </c>
      <c r="BI83" s="10" t="str">
        <f>IF(ISBLANK(Kühl_und_Kältemittel[[#This Row],[Wert 
(Zahl)]]),"",IFERROR(Kühl_und_Kältemittel[[#This Row],[Scope 1 PFCs '[kg PFCs']]]*IFERROR(VLOOKUP(Kühl_und_Kältemittel[[#This Row],[Emissionsquelle/Aktivität (Dropdown)]],GWP_100[],7,FALSE),0),0))</f>
        <v/>
      </c>
      <c r="BJ83" s="10" t="str">
        <f>IF(ISBLANK(Kühl_und_Kältemittel[[#This Row],[Wert 
(Zahl)]]),"",IFERROR(Kühl_und_Kältemittel[[#This Row],[Scope 1 SF6 '[kg SF6']]]*IFERROR(VLOOKUP("SF6",GWP_100[],8,FALSE),0),0))</f>
        <v/>
      </c>
      <c r="BK83" s="10" t="str">
        <f>IF(ISBLANK(Kühl_und_Kältemittel[[#This Row],[Wert 
(Zahl)]]),"",IFERROR(Kühl_und_Kältemittel[[#This Row],[Scope 1 NF3 '[kg NF3']]]*IFERROR(VLOOKUP("NF3",GWP_100[],9,FALSE),0),0))</f>
        <v/>
      </c>
      <c r="BL83" s="10" t="str">
        <f>IF(ISBLANK(Kühl_und_Kältemittel[[#This Row],[Wert 
(Zahl)]]),"",IFERROR(Kühl_und_Kältemittel[[#This Row],[Scope 1 non-Kyoto '[kg non-Kyoto gas']]]*IFERROR(VLOOKUP(Kühl_und_Kältemittel[[#This Row],[Emissionsquelle/Aktivität (Dropdown)]],GWP_100[],10,FALSE),0),0))</f>
        <v/>
      </c>
      <c r="BM83" s="10" t="str">
        <f>IF(ISBLANK(Kühl_und_Kältemittel[[#This Row],[Wert 
(Zahl)]]),"",IFERROR(Kühl_und_Kältemittel[[#This Row],[Scope 2 CO2 '[kg CO2']]]*IFERROR(VLOOKUP("CO2",GWP_100[],3,FALSE),0),0))</f>
        <v/>
      </c>
      <c r="BN83" s="10" t="str">
        <f>IF(ISBLANK(Kühl_und_Kältemittel[[#This Row],[Wert 
(Zahl)]]),"",IFERROR(Kühl_und_Kältemittel[[#This Row],[Scope 2 CH4 '[kg CH4']]]*IFERROR(VLOOKUP("CH4",GWP_100[],4,FALSE),0),0))</f>
        <v/>
      </c>
      <c r="BO83" s="10" t="str">
        <f>IF(ISBLANK(Kühl_und_Kältemittel[[#This Row],[Wert 
(Zahl)]]),"",IFERROR(Kühl_und_Kältemittel[[#This Row],[Scope 2 N2O '[kg N2O']]]*IFERROR(VLOOKUP("N2O",GWP_100[],5,FALSE),0),0))</f>
        <v/>
      </c>
      <c r="BP83" s="10" t="str">
        <f>IF(ISBLANK(Kühl_und_Kältemittel[[#This Row],[Wert 
(Zahl)]]),"",IFERROR(Kühl_und_Kältemittel[[#This Row],[Scope 2 HFCs '[kg HFCs']]]*IFERROR(VLOOKUP(Kühl_und_Kältemittel[[#This Row],[Emissionsquelle/Aktivität (Dropdown)]],GWP_100[],6,FALSE),0),0))</f>
        <v/>
      </c>
      <c r="BQ83" s="10" t="str">
        <f>IF(ISBLANK(Kühl_und_Kältemittel[[#This Row],[Wert 
(Zahl)]]),"",IFERROR(Kühl_und_Kältemittel[[#This Row],[Scope 2 PFCs '[kg PFCs']]]*IFERROR(VLOOKUP(Kühl_und_Kältemittel[[#This Row],[Emissionsquelle/Aktivität (Dropdown)]],GWP_100[],7,FALSE),0),0))</f>
        <v/>
      </c>
      <c r="BR83" s="10" t="str">
        <f>IF(ISBLANK(Kühl_und_Kältemittel[[#This Row],[Wert 
(Zahl)]]),"",IFERROR(Kühl_und_Kältemittel[[#This Row],[Scope 2 SF6 '[kg SF6']]]*IFERROR(VLOOKUP("SF6",GWP_100[],8,FALSE),0),0))</f>
        <v/>
      </c>
      <c r="BS83" s="10" t="str">
        <f>IF(ISBLANK(Kühl_und_Kältemittel[[#This Row],[Wert 
(Zahl)]]),"",IFERROR(Kühl_und_Kältemittel[[#This Row],[Scope 2 NF3 '[kg NF3']]]*IFERROR(VLOOKUP("NF3",GWP_100[],9,FALSE),0),0))</f>
        <v/>
      </c>
      <c r="BT83" s="10" t="str">
        <f>IF(ISBLANK(Kühl_und_Kältemittel[[#This Row],[Wert 
(Zahl)]]),"",IFERROR(Kühl_und_Kältemittel[[#This Row],[Scope 2 non-Kyoto '[kg non-Kyoto gas']]]*IFERROR(VLOOKUP(Kühl_und_Kältemittel[[#This Row],[Emissionsquelle/Aktivität (Dropdown)]],GWP_100[],10,FALSE),0),0))</f>
        <v/>
      </c>
    </row>
    <row r="84" spans="2:92" s="89" customFormat="1" x14ac:dyDescent="0.35">
      <c r="B84" s="604"/>
      <c r="C84" s="10" t="str">
        <f t="shared" si="2"/>
        <v>Kühl_und_Kältemittel</v>
      </c>
      <c r="D84" s="90"/>
      <c r="E84" s="90"/>
      <c r="F84" s="288"/>
      <c r="G84" s="10" t="str">
        <f>IFERROR(VLOOKUP(Kühl_und_Kältemittel[[#This Row],[Thema_Bezeichung]],EFs_Kühlmittel[],4,FALSE),"")</f>
        <v/>
      </c>
      <c r="H84" s="90"/>
      <c r="I84" s="90"/>
      <c r="J84" s="90"/>
      <c r="K84" s="284" t="str">
        <f>IF(ISBLANK(Kühl_und_Kältemittel[[#This Row],[Wert 
(Zahl)]]),"", SUM(Kühl_und_Kältemittel[[#This Row],[Scope 1 CO2e '[kg CO2e']]:[Scope 3 CO2e '[kg CO2e']]]))</f>
        <v/>
      </c>
      <c r="L84" s="158"/>
      <c r="M84" s="408"/>
      <c r="N84" s="408"/>
      <c r="O84" s="15" t="str">
        <f>IF(ISBLANK(Kühl_und_Kältemittel[[#This Row],[Emissionsquelle/Aktivität (Dropdown)]]),"",CONCATENATE(Kühl_und_Kältemittel[[#This Row],[Sektor_Thema]]," - ",Kühl_und_Kältemittel[[#This Row],[Emissionsquelle/Aktivität (Dropdown)]]))</f>
        <v/>
      </c>
      <c r="P84" s="15"/>
      <c r="Q84" s="15" t="str">
        <f>IFERROR(VLOOKUP(Kühl_und_Kältemittel[[#This Row],[Thema_Bezeichung]],EFs_Kühlmittel[],5,FALSE),"")</f>
        <v/>
      </c>
      <c r="R84" s="15" t="str">
        <f>IFERROR(VLOOKUP(Kühl_und_Kältemittel[[#This Row],[Thema_Bezeichung]],EFs_Kühlmittel[],6,FALSE),"")</f>
        <v/>
      </c>
      <c r="S84" s="15" t="str">
        <f>IFERROR(VLOOKUP(Kühl_und_Kältemittel[[#This Row],[Thema_Bezeichung]],EFs_Kühlmittel[],7,FALSE),"")</f>
        <v/>
      </c>
      <c r="T84" s="15" t="str">
        <f>IFERROR(VLOOKUP(Kühl_und_Kältemittel[[#This Row],[Thema_Bezeichung]],EFs_Kühlmittel[],8,FALSE),"")</f>
        <v/>
      </c>
      <c r="U84" s="15" t="str">
        <f>IFERROR(VLOOKUP(Kühl_und_Kältemittel[[#This Row],[Thema_Bezeichung]],EFs_Kühlmittel[],9,FALSE),"")</f>
        <v/>
      </c>
      <c r="V84" s="15" t="str">
        <f>IFERROR(VLOOKUP(Kühl_und_Kältemittel[[#This Row],[Thema_Bezeichung]],EFs_Kühlmittel[],10,FALSE),"")</f>
        <v/>
      </c>
      <c r="W84" s="15" t="str">
        <f>IFERROR(VLOOKUP(Kühl_und_Kältemittel[[#This Row],[Thema_Bezeichung]],EFs_Kühlmittel[],11,FALSE),"")</f>
        <v/>
      </c>
      <c r="X84" s="15" t="str">
        <f>IFERROR(VLOOKUP(Kühl_und_Kältemittel[[#This Row],[Thema_Bezeichung]],EFs_Kühlmittel[],12,FALSE),"")</f>
        <v/>
      </c>
      <c r="Y84" s="15" t="str">
        <f>IFERROR(VLOOKUP(Kühl_und_Kältemittel[[#This Row],[Thema_Bezeichung]],EFs_Kühlmittel[],13,FALSE),"")</f>
        <v/>
      </c>
      <c r="Z84" s="15" t="str">
        <f>IFERROR(VLOOKUP(Kühl_und_Kältemittel[[#This Row],[Thema_Bezeichung]],EFs_Kühlmittel[],14,FALSE),"")</f>
        <v/>
      </c>
      <c r="AA84" s="15" t="str">
        <f>IFERROR(VLOOKUP(Kühl_und_Kältemittel[[#This Row],[Thema_Bezeichung]],EFs_Kühlmittel[],15,FALSE),"")</f>
        <v/>
      </c>
      <c r="AB84" s="15" t="str">
        <f>IFERROR(VLOOKUP(Kühl_und_Kältemittel[[#This Row],[Thema_Bezeichung]],EFs_Kühlmittel[],16,FALSE),"")</f>
        <v/>
      </c>
      <c r="AC84" s="15" t="str">
        <f>IFERROR(VLOOKUP(Kühl_und_Kältemittel[[#This Row],[Thema_Bezeichung]],EFs_Kühlmittel[],17,FALSE),"")</f>
        <v/>
      </c>
      <c r="AD84" s="15" t="str">
        <f>IFERROR(VLOOKUP(Kühl_und_Kältemittel[[#This Row],[Thema_Bezeichung]],EFs_Kühlmittel[],18,FALSE),"")</f>
        <v/>
      </c>
      <c r="AE84" s="15" t="str">
        <f>IFERROR(VLOOKUP(Kühl_und_Kältemittel[[#This Row],[Thema_Bezeichung]],EFs_Kühlmittel[],19,FALSE),"")</f>
        <v/>
      </c>
      <c r="AF84" s="15" t="str">
        <f>IFERROR(VLOOKUP(Kühl_und_Kältemittel[[#This Row],[Thema_Bezeichung]],EFs_Kühlmittel[],20,FALSE),"")</f>
        <v/>
      </c>
      <c r="AG84" s="15" t="str">
        <f>IFERROR(VLOOKUP(Kühl_und_Kältemittel[[#This Row],[Thema_Bezeichung]],EFs_Kühlmittel[],21,FALSE),"")</f>
        <v/>
      </c>
      <c r="AH84" s="15" t="str">
        <f>IFERROR(VLOOKUP(Kühl_und_Kältemittel[[#This Row],[Thema_Bezeichung]],EFs_Kühlmittel[],22,FALSE),"")</f>
        <v/>
      </c>
      <c r="AI84" s="15" t="str">
        <f>IFERROR(VLOOKUP(Kühl_und_Kältemittel[[#This Row],[Thema_Bezeichung]],EFs_Kühlmittel[],23,FALSE),"")</f>
        <v/>
      </c>
      <c r="AJ84" s="15" t="str">
        <f>IFERROR(VLOOKUP(Kühl_und_Kältemittel[[#This Row],[Thema_Bezeichung]],EFs_Kühlmittel[],24,FALSE),"")</f>
        <v/>
      </c>
      <c r="AK84" s="15" t="str">
        <f>IFERROR(Kühl_und_Kältemittel[[#This Row],[Wert 
(Zahl)]]*Kühl_und_Kältemittel[[#This Row],[EF Scope 1 CO2e
(kg CO2e/Einheit)]],"")</f>
        <v/>
      </c>
      <c r="AL84" s="15" t="str">
        <f>IFERROR(Kühl_und_Kältemittel[[#This Row],[Wert 
(Zahl)]]*Kühl_und_Kältemittel[[#This Row],[EF Scope 2 CO2e
(kg CO2e/Einheit)]],"")</f>
        <v/>
      </c>
      <c r="AM84" s="15" t="str">
        <f>IFERROR(Kühl_und_Kältemittel[[#This Row],[Wert 
(Zahl)]]*Kühl_und_Kältemittel[[#This Row],[EF Scope 3 CO2e
(kg CO2e/Einheit)]],"")</f>
        <v/>
      </c>
      <c r="AN84" s="15" t="str">
        <f>IFERROR(Kühl_und_Kältemittel[[#This Row],[Wert 
(Zahl)]]*Kühl_und_Kältemittel[[#This Row],[EF Scope 1 CO2 biogen
(kg CO2 /Einheit)]],"")</f>
        <v/>
      </c>
      <c r="AO84" s="15" t="str">
        <f>IFERROR(Kühl_und_Kältemittel[[#This Row],[Wert 
(Zahl)]]*Kühl_und_Kältemittel[[#This Row],[EF Scope 1 CO2
(kg CO2/Einheit)]],"")</f>
        <v/>
      </c>
      <c r="AP84" s="15" t="str">
        <f>IFERROR(Kühl_und_Kältemittel[[#This Row],[Wert 
(Zahl)]]*Kühl_und_Kältemittel[[#This Row],[EF Scope 1 CH4
(kg CH4/Einheit)]],"")</f>
        <v/>
      </c>
      <c r="AQ84" s="15" t="str">
        <f>IFERROR(Kühl_und_Kältemittel[[#This Row],[Wert 
(Zahl)]]*Kühl_und_Kältemittel[[#This Row],[EF Scope 1 N2O
(kg N2O/Einheit)]],"")</f>
        <v/>
      </c>
      <c r="AR84" s="15" t="str">
        <f>IFERROR(Kühl_und_Kältemittel[[#This Row],[Wert 
(Zahl)]]*Kühl_und_Kältemittel[[#This Row],[EF Scope 1 HFCs
(kg HFCs/Einheit)]],"")</f>
        <v/>
      </c>
      <c r="AS84" s="15" t="str">
        <f>IFERROR(Kühl_und_Kältemittel[[#This Row],[Wert 
(Zahl)]]*Kühl_und_Kältemittel[[#This Row],[EF Scope 1 PFCs
(kg PFCs/Einheit)]],"")</f>
        <v/>
      </c>
      <c r="AT84" s="15" t="str">
        <f>IFERROR(Kühl_und_Kältemittel[[#This Row],[Wert 
(Zahl)]]*Kühl_und_Kältemittel[[#This Row],[EF Scope 1 SF6
(kg SF6/Einheit)]],"")</f>
        <v/>
      </c>
      <c r="AU84" s="15" t="str">
        <f>IFERROR(Kühl_und_Kältemittel[[#This Row],[Wert 
(Zahl)]]*Kühl_und_Kältemittel[[#This Row],[EF Scope 1 NF3
(kg NF3/Einheit)]],"")</f>
        <v/>
      </c>
      <c r="AV84" s="15" t="str">
        <f>IFERROR(Kühl_und_Kältemittel[[#This Row],[Wert 
(Zahl)]]*Kühl_und_Kältemittel[[#This Row],[EF Scope 1 Nicht-Kyoto-Gase (kg Nicht-Kyoto-Gase/Einheit)]],"")</f>
        <v/>
      </c>
      <c r="AW84" s="15" t="str">
        <f>IFERROR(Kühl_und_Kältemittel[[#This Row],[Wert 
(Zahl)]]*Kühl_und_Kältemittel[[#This Row],[EF Scope 2 CO2
(kg CO2/Einheit)]],"")</f>
        <v/>
      </c>
      <c r="AX84" s="15" t="str">
        <f>IFERROR(Kühl_und_Kältemittel[[#This Row],[Wert 
(Zahl)]]*Kühl_und_Kältemittel[[#This Row],[EF Scope 2 CH4
(kg CH4/Einheit)]],"")</f>
        <v/>
      </c>
      <c r="AY84" s="15" t="str">
        <f>IFERROR(Kühl_und_Kältemittel[[#This Row],[Wert 
(Zahl)]]*Kühl_und_Kältemittel[[#This Row],[EF Scope 2 N2O
(kg N2O/Einheit)]],"")</f>
        <v/>
      </c>
      <c r="AZ84" s="15" t="str">
        <f>IFERROR(Kühl_und_Kältemittel[[#This Row],[Wert 
(Zahl)]]*Kühl_und_Kältemittel[[#This Row],[EF Scope 2 HFCs
(kg HFCs/Einheit)]],"")</f>
        <v/>
      </c>
      <c r="BA84" s="15" t="str">
        <f>IFERROR(Kühl_und_Kältemittel[[#This Row],[Wert 
(Zahl)]]*Kühl_und_Kältemittel[[#This Row],[EF Scope 2 PFCs
(kg PFCs/Einheit)]],"")</f>
        <v/>
      </c>
      <c r="BB84" s="15" t="str">
        <f>IFERROR(Kühl_und_Kältemittel[[#This Row],[Wert 
(Zahl)]]*Kühl_und_Kältemittel[[#This Row],[EF Scope 2 SF6
(kg SF6/Einheit)]],"")</f>
        <v/>
      </c>
      <c r="BC84" s="15" t="str">
        <f>IFERROR(Kühl_und_Kältemittel[[#This Row],[Wert 
(Zahl)]]*Kühl_und_Kältemittel[[#This Row],[EF Scope 2 NF3
(kg NF3/Einheit)]],"")</f>
        <v/>
      </c>
      <c r="BD84" s="15" t="str">
        <f>IFERROR(Kühl_und_Kältemittel[[#This Row],[Wert 
(Zahl)]]*Kühl_und_Kältemittel[[#This Row],[EF Scope 2 Nicht-Kyoto-Gase (kg Nicht-Kyoto-Gase/Einheit)]],"")</f>
        <v/>
      </c>
      <c r="BE84" s="10" t="str">
        <f>IF(ISBLANK(Kühl_und_Kältemittel[[#This Row],[Wert 
(Zahl)]]),"",IFERROR(Kühl_und_Kältemittel[[#This Row],[Scope 1 CO2 '[kg CO2']]]*IFERROR(VLOOKUP("CO2",GWP_100[],3,FALSE),0),0))</f>
        <v/>
      </c>
      <c r="BF84" s="10" t="str">
        <f>IF(ISBLANK(Kühl_und_Kältemittel[[#This Row],[Wert 
(Zahl)]]),"",IFERROR(Kühl_und_Kältemittel[[#This Row],[Scope 1 CH4 '[kg CH4']]]*IFERROR(VLOOKUP("CH4",GWP_100[],4,FALSE),0),0))</f>
        <v/>
      </c>
      <c r="BG84" s="10" t="str">
        <f>IF(ISBLANK(Kühl_und_Kältemittel[[#This Row],[Wert 
(Zahl)]]),"",IFERROR(Kühl_und_Kältemittel[[#This Row],[Scope 1 N2O '[kg N2O']]]*IFERROR(VLOOKUP("N2O",GWP_100[],5,FALSE),0),0))</f>
        <v/>
      </c>
      <c r="BH84" s="10" t="str">
        <f>IF(ISBLANK(Kühl_und_Kältemittel[[#This Row],[Wert 
(Zahl)]]),"",IFERROR(Kühl_und_Kältemittel[[#This Row],[Scope 1 HFCs '[kg HFCs']]]*IFERROR(VLOOKUP(Kühl_und_Kältemittel[[#This Row],[Emissionsquelle/Aktivität (Dropdown)]],GWP_100[],6,FALSE),0),0))</f>
        <v/>
      </c>
      <c r="BI84" s="10" t="str">
        <f>IF(ISBLANK(Kühl_und_Kältemittel[[#This Row],[Wert 
(Zahl)]]),"",IFERROR(Kühl_und_Kältemittel[[#This Row],[Scope 1 PFCs '[kg PFCs']]]*IFERROR(VLOOKUP(Kühl_und_Kältemittel[[#This Row],[Emissionsquelle/Aktivität (Dropdown)]],GWP_100[],7,FALSE),0),0))</f>
        <v/>
      </c>
      <c r="BJ84" s="10" t="str">
        <f>IF(ISBLANK(Kühl_und_Kältemittel[[#This Row],[Wert 
(Zahl)]]),"",IFERROR(Kühl_und_Kältemittel[[#This Row],[Scope 1 SF6 '[kg SF6']]]*IFERROR(VLOOKUP("SF6",GWP_100[],8,FALSE),0),0))</f>
        <v/>
      </c>
      <c r="BK84" s="10" t="str">
        <f>IF(ISBLANK(Kühl_und_Kältemittel[[#This Row],[Wert 
(Zahl)]]),"",IFERROR(Kühl_und_Kältemittel[[#This Row],[Scope 1 NF3 '[kg NF3']]]*IFERROR(VLOOKUP("NF3",GWP_100[],9,FALSE),0),0))</f>
        <v/>
      </c>
      <c r="BL84" s="10" t="str">
        <f>IF(ISBLANK(Kühl_und_Kältemittel[[#This Row],[Wert 
(Zahl)]]),"",IFERROR(Kühl_und_Kältemittel[[#This Row],[Scope 1 non-Kyoto '[kg non-Kyoto gas']]]*IFERROR(VLOOKUP(Kühl_und_Kältemittel[[#This Row],[Emissionsquelle/Aktivität (Dropdown)]],GWP_100[],10,FALSE),0),0))</f>
        <v/>
      </c>
      <c r="BM84" s="10" t="str">
        <f>IF(ISBLANK(Kühl_und_Kältemittel[[#This Row],[Wert 
(Zahl)]]),"",IFERROR(Kühl_und_Kältemittel[[#This Row],[Scope 2 CO2 '[kg CO2']]]*IFERROR(VLOOKUP("CO2",GWP_100[],3,FALSE),0),0))</f>
        <v/>
      </c>
      <c r="BN84" s="10" t="str">
        <f>IF(ISBLANK(Kühl_und_Kältemittel[[#This Row],[Wert 
(Zahl)]]),"",IFERROR(Kühl_und_Kältemittel[[#This Row],[Scope 2 CH4 '[kg CH4']]]*IFERROR(VLOOKUP("CH4",GWP_100[],4,FALSE),0),0))</f>
        <v/>
      </c>
      <c r="BO84" s="10" t="str">
        <f>IF(ISBLANK(Kühl_und_Kältemittel[[#This Row],[Wert 
(Zahl)]]),"",IFERROR(Kühl_und_Kältemittel[[#This Row],[Scope 2 N2O '[kg N2O']]]*IFERROR(VLOOKUP("N2O",GWP_100[],5,FALSE),0),0))</f>
        <v/>
      </c>
      <c r="BP84" s="10" t="str">
        <f>IF(ISBLANK(Kühl_und_Kältemittel[[#This Row],[Wert 
(Zahl)]]),"",IFERROR(Kühl_und_Kältemittel[[#This Row],[Scope 2 HFCs '[kg HFCs']]]*IFERROR(VLOOKUP(Kühl_und_Kältemittel[[#This Row],[Emissionsquelle/Aktivität (Dropdown)]],GWP_100[],6,FALSE),0),0))</f>
        <v/>
      </c>
      <c r="BQ84" s="10" t="str">
        <f>IF(ISBLANK(Kühl_und_Kältemittel[[#This Row],[Wert 
(Zahl)]]),"",IFERROR(Kühl_und_Kältemittel[[#This Row],[Scope 2 PFCs '[kg PFCs']]]*IFERROR(VLOOKUP(Kühl_und_Kältemittel[[#This Row],[Emissionsquelle/Aktivität (Dropdown)]],GWP_100[],7,FALSE),0),0))</f>
        <v/>
      </c>
      <c r="BR84" s="10" t="str">
        <f>IF(ISBLANK(Kühl_und_Kältemittel[[#This Row],[Wert 
(Zahl)]]),"",IFERROR(Kühl_und_Kältemittel[[#This Row],[Scope 2 SF6 '[kg SF6']]]*IFERROR(VLOOKUP("SF6",GWP_100[],8,FALSE),0),0))</f>
        <v/>
      </c>
      <c r="BS84" s="10" t="str">
        <f>IF(ISBLANK(Kühl_und_Kältemittel[[#This Row],[Wert 
(Zahl)]]),"",IFERROR(Kühl_und_Kältemittel[[#This Row],[Scope 2 NF3 '[kg NF3']]]*IFERROR(VLOOKUP("NF3",GWP_100[],9,FALSE),0),0))</f>
        <v/>
      </c>
      <c r="BT84" s="10" t="str">
        <f>IF(ISBLANK(Kühl_und_Kältemittel[[#This Row],[Wert 
(Zahl)]]),"",IFERROR(Kühl_und_Kältemittel[[#This Row],[Scope 2 non-Kyoto '[kg non-Kyoto gas']]]*IFERROR(VLOOKUP(Kühl_und_Kältemittel[[#This Row],[Emissionsquelle/Aktivität (Dropdown)]],GWP_100[],10,FALSE),0),0))</f>
        <v/>
      </c>
    </row>
    <row r="85" spans="2:92" s="89" customFormat="1" x14ac:dyDescent="0.35">
      <c r="B85" s="604"/>
      <c r="C85" s="10" t="str">
        <f t="shared" si="2"/>
        <v>Kühl_und_Kältemittel</v>
      </c>
      <c r="D85" s="90"/>
      <c r="E85" s="90"/>
      <c r="F85" s="288"/>
      <c r="G85" s="10" t="str">
        <f>IFERROR(VLOOKUP(Kühl_und_Kältemittel[[#This Row],[Thema_Bezeichung]],EFs_Kühlmittel[],4,FALSE),"")</f>
        <v/>
      </c>
      <c r="H85" s="90"/>
      <c r="I85" s="90"/>
      <c r="J85" s="90"/>
      <c r="K85" s="284" t="str">
        <f>IF(ISBLANK(Kühl_und_Kältemittel[[#This Row],[Wert 
(Zahl)]]),"", SUM(Kühl_und_Kältemittel[[#This Row],[Scope 1 CO2e '[kg CO2e']]:[Scope 3 CO2e '[kg CO2e']]]))</f>
        <v/>
      </c>
      <c r="L85" s="158"/>
      <c r="M85" s="408"/>
      <c r="N85" s="408"/>
      <c r="O85" s="15" t="str">
        <f>IF(ISBLANK(Kühl_und_Kältemittel[[#This Row],[Emissionsquelle/Aktivität (Dropdown)]]),"",CONCATENATE(Kühl_und_Kältemittel[[#This Row],[Sektor_Thema]]," - ",Kühl_und_Kältemittel[[#This Row],[Emissionsquelle/Aktivität (Dropdown)]]))</f>
        <v/>
      </c>
      <c r="P85" s="15"/>
      <c r="Q85" s="15" t="str">
        <f>IFERROR(VLOOKUP(Kühl_und_Kältemittel[[#This Row],[Thema_Bezeichung]],EFs_Kühlmittel[],5,FALSE),"")</f>
        <v/>
      </c>
      <c r="R85" s="15" t="str">
        <f>IFERROR(VLOOKUP(Kühl_und_Kältemittel[[#This Row],[Thema_Bezeichung]],EFs_Kühlmittel[],6,FALSE),"")</f>
        <v/>
      </c>
      <c r="S85" s="15" t="str">
        <f>IFERROR(VLOOKUP(Kühl_und_Kältemittel[[#This Row],[Thema_Bezeichung]],EFs_Kühlmittel[],7,FALSE),"")</f>
        <v/>
      </c>
      <c r="T85" s="15" t="str">
        <f>IFERROR(VLOOKUP(Kühl_und_Kältemittel[[#This Row],[Thema_Bezeichung]],EFs_Kühlmittel[],8,FALSE),"")</f>
        <v/>
      </c>
      <c r="U85" s="15" t="str">
        <f>IFERROR(VLOOKUP(Kühl_und_Kältemittel[[#This Row],[Thema_Bezeichung]],EFs_Kühlmittel[],9,FALSE),"")</f>
        <v/>
      </c>
      <c r="V85" s="15" t="str">
        <f>IFERROR(VLOOKUP(Kühl_und_Kältemittel[[#This Row],[Thema_Bezeichung]],EFs_Kühlmittel[],10,FALSE),"")</f>
        <v/>
      </c>
      <c r="W85" s="15" t="str">
        <f>IFERROR(VLOOKUP(Kühl_und_Kältemittel[[#This Row],[Thema_Bezeichung]],EFs_Kühlmittel[],11,FALSE),"")</f>
        <v/>
      </c>
      <c r="X85" s="15" t="str">
        <f>IFERROR(VLOOKUP(Kühl_und_Kältemittel[[#This Row],[Thema_Bezeichung]],EFs_Kühlmittel[],12,FALSE),"")</f>
        <v/>
      </c>
      <c r="Y85" s="15" t="str">
        <f>IFERROR(VLOOKUP(Kühl_und_Kältemittel[[#This Row],[Thema_Bezeichung]],EFs_Kühlmittel[],13,FALSE),"")</f>
        <v/>
      </c>
      <c r="Z85" s="15" t="str">
        <f>IFERROR(VLOOKUP(Kühl_und_Kältemittel[[#This Row],[Thema_Bezeichung]],EFs_Kühlmittel[],14,FALSE),"")</f>
        <v/>
      </c>
      <c r="AA85" s="15" t="str">
        <f>IFERROR(VLOOKUP(Kühl_und_Kältemittel[[#This Row],[Thema_Bezeichung]],EFs_Kühlmittel[],15,FALSE),"")</f>
        <v/>
      </c>
      <c r="AB85" s="15" t="str">
        <f>IFERROR(VLOOKUP(Kühl_und_Kältemittel[[#This Row],[Thema_Bezeichung]],EFs_Kühlmittel[],16,FALSE),"")</f>
        <v/>
      </c>
      <c r="AC85" s="15" t="str">
        <f>IFERROR(VLOOKUP(Kühl_und_Kältemittel[[#This Row],[Thema_Bezeichung]],EFs_Kühlmittel[],17,FALSE),"")</f>
        <v/>
      </c>
      <c r="AD85" s="15" t="str">
        <f>IFERROR(VLOOKUP(Kühl_und_Kältemittel[[#This Row],[Thema_Bezeichung]],EFs_Kühlmittel[],18,FALSE),"")</f>
        <v/>
      </c>
      <c r="AE85" s="15" t="str">
        <f>IFERROR(VLOOKUP(Kühl_und_Kältemittel[[#This Row],[Thema_Bezeichung]],EFs_Kühlmittel[],19,FALSE),"")</f>
        <v/>
      </c>
      <c r="AF85" s="15" t="str">
        <f>IFERROR(VLOOKUP(Kühl_und_Kältemittel[[#This Row],[Thema_Bezeichung]],EFs_Kühlmittel[],20,FALSE),"")</f>
        <v/>
      </c>
      <c r="AG85" s="15" t="str">
        <f>IFERROR(VLOOKUP(Kühl_und_Kältemittel[[#This Row],[Thema_Bezeichung]],EFs_Kühlmittel[],21,FALSE),"")</f>
        <v/>
      </c>
      <c r="AH85" s="15" t="str">
        <f>IFERROR(VLOOKUP(Kühl_und_Kältemittel[[#This Row],[Thema_Bezeichung]],EFs_Kühlmittel[],22,FALSE),"")</f>
        <v/>
      </c>
      <c r="AI85" s="15" t="str">
        <f>IFERROR(VLOOKUP(Kühl_und_Kältemittel[[#This Row],[Thema_Bezeichung]],EFs_Kühlmittel[],23,FALSE),"")</f>
        <v/>
      </c>
      <c r="AJ85" s="15" t="str">
        <f>IFERROR(VLOOKUP(Kühl_und_Kältemittel[[#This Row],[Thema_Bezeichung]],EFs_Kühlmittel[],24,FALSE),"")</f>
        <v/>
      </c>
      <c r="AK85" s="15" t="str">
        <f>IFERROR(Kühl_und_Kältemittel[[#This Row],[Wert 
(Zahl)]]*Kühl_und_Kältemittel[[#This Row],[EF Scope 1 CO2e
(kg CO2e/Einheit)]],"")</f>
        <v/>
      </c>
      <c r="AL85" s="15" t="str">
        <f>IFERROR(Kühl_und_Kältemittel[[#This Row],[Wert 
(Zahl)]]*Kühl_und_Kältemittel[[#This Row],[EF Scope 2 CO2e
(kg CO2e/Einheit)]],"")</f>
        <v/>
      </c>
      <c r="AM85" s="15" t="str">
        <f>IFERROR(Kühl_und_Kältemittel[[#This Row],[Wert 
(Zahl)]]*Kühl_und_Kältemittel[[#This Row],[EF Scope 3 CO2e
(kg CO2e/Einheit)]],"")</f>
        <v/>
      </c>
      <c r="AN85" s="15" t="str">
        <f>IFERROR(Kühl_und_Kältemittel[[#This Row],[Wert 
(Zahl)]]*Kühl_und_Kältemittel[[#This Row],[EF Scope 1 CO2 biogen
(kg CO2 /Einheit)]],"")</f>
        <v/>
      </c>
      <c r="AO85" s="15" t="str">
        <f>IFERROR(Kühl_und_Kältemittel[[#This Row],[Wert 
(Zahl)]]*Kühl_und_Kältemittel[[#This Row],[EF Scope 1 CO2
(kg CO2/Einheit)]],"")</f>
        <v/>
      </c>
      <c r="AP85" s="15" t="str">
        <f>IFERROR(Kühl_und_Kältemittel[[#This Row],[Wert 
(Zahl)]]*Kühl_und_Kältemittel[[#This Row],[EF Scope 1 CH4
(kg CH4/Einheit)]],"")</f>
        <v/>
      </c>
      <c r="AQ85" s="15" t="str">
        <f>IFERROR(Kühl_und_Kältemittel[[#This Row],[Wert 
(Zahl)]]*Kühl_und_Kältemittel[[#This Row],[EF Scope 1 N2O
(kg N2O/Einheit)]],"")</f>
        <v/>
      </c>
      <c r="AR85" s="15" t="str">
        <f>IFERROR(Kühl_und_Kältemittel[[#This Row],[Wert 
(Zahl)]]*Kühl_und_Kältemittel[[#This Row],[EF Scope 1 HFCs
(kg HFCs/Einheit)]],"")</f>
        <v/>
      </c>
      <c r="AS85" s="15" t="str">
        <f>IFERROR(Kühl_und_Kältemittel[[#This Row],[Wert 
(Zahl)]]*Kühl_und_Kältemittel[[#This Row],[EF Scope 1 PFCs
(kg PFCs/Einheit)]],"")</f>
        <v/>
      </c>
      <c r="AT85" s="15" t="str">
        <f>IFERROR(Kühl_und_Kältemittel[[#This Row],[Wert 
(Zahl)]]*Kühl_und_Kältemittel[[#This Row],[EF Scope 1 SF6
(kg SF6/Einheit)]],"")</f>
        <v/>
      </c>
      <c r="AU85" s="15" t="str">
        <f>IFERROR(Kühl_und_Kältemittel[[#This Row],[Wert 
(Zahl)]]*Kühl_und_Kältemittel[[#This Row],[EF Scope 1 NF3
(kg NF3/Einheit)]],"")</f>
        <v/>
      </c>
      <c r="AV85" s="15" t="str">
        <f>IFERROR(Kühl_und_Kältemittel[[#This Row],[Wert 
(Zahl)]]*Kühl_und_Kältemittel[[#This Row],[EF Scope 1 Nicht-Kyoto-Gase (kg Nicht-Kyoto-Gase/Einheit)]],"")</f>
        <v/>
      </c>
      <c r="AW85" s="15" t="str">
        <f>IFERROR(Kühl_und_Kältemittel[[#This Row],[Wert 
(Zahl)]]*Kühl_und_Kältemittel[[#This Row],[EF Scope 2 CO2
(kg CO2/Einheit)]],"")</f>
        <v/>
      </c>
      <c r="AX85" s="15" t="str">
        <f>IFERROR(Kühl_und_Kältemittel[[#This Row],[Wert 
(Zahl)]]*Kühl_und_Kältemittel[[#This Row],[EF Scope 2 CH4
(kg CH4/Einheit)]],"")</f>
        <v/>
      </c>
      <c r="AY85" s="15" t="str">
        <f>IFERROR(Kühl_und_Kältemittel[[#This Row],[Wert 
(Zahl)]]*Kühl_und_Kältemittel[[#This Row],[EF Scope 2 N2O
(kg N2O/Einheit)]],"")</f>
        <v/>
      </c>
      <c r="AZ85" s="15" t="str">
        <f>IFERROR(Kühl_und_Kältemittel[[#This Row],[Wert 
(Zahl)]]*Kühl_und_Kältemittel[[#This Row],[EF Scope 2 HFCs
(kg HFCs/Einheit)]],"")</f>
        <v/>
      </c>
      <c r="BA85" s="15" t="str">
        <f>IFERROR(Kühl_und_Kältemittel[[#This Row],[Wert 
(Zahl)]]*Kühl_und_Kältemittel[[#This Row],[EF Scope 2 PFCs
(kg PFCs/Einheit)]],"")</f>
        <v/>
      </c>
      <c r="BB85" s="15" t="str">
        <f>IFERROR(Kühl_und_Kältemittel[[#This Row],[Wert 
(Zahl)]]*Kühl_und_Kältemittel[[#This Row],[EF Scope 2 SF6
(kg SF6/Einheit)]],"")</f>
        <v/>
      </c>
      <c r="BC85" s="15" t="str">
        <f>IFERROR(Kühl_und_Kältemittel[[#This Row],[Wert 
(Zahl)]]*Kühl_und_Kältemittel[[#This Row],[EF Scope 2 NF3
(kg NF3/Einheit)]],"")</f>
        <v/>
      </c>
      <c r="BD85" s="15" t="str">
        <f>IFERROR(Kühl_und_Kältemittel[[#This Row],[Wert 
(Zahl)]]*Kühl_und_Kältemittel[[#This Row],[EF Scope 2 Nicht-Kyoto-Gase (kg Nicht-Kyoto-Gase/Einheit)]],"")</f>
        <v/>
      </c>
      <c r="BE85" s="10" t="str">
        <f>IF(ISBLANK(Kühl_und_Kältemittel[[#This Row],[Wert 
(Zahl)]]),"",IFERROR(Kühl_und_Kältemittel[[#This Row],[Scope 1 CO2 '[kg CO2']]]*IFERROR(VLOOKUP("CO2",GWP_100[],3,FALSE),0),0))</f>
        <v/>
      </c>
      <c r="BF85" s="10" t="str">
        <f>IF(ISBLANK(Kühl_und_Kältemittel[[#This Row],[Wert 
(Zahl)]]),"",IFERROR(Kühl_und_Kältemittel[[#This Row],[Scope 1 CH4 '[kg CH4']]]*IFERROR(VLOOKUP("CH4",GWP_100[],4,FALSE),0),0))</f>
        <v/>
      </c>
      <c r="BG85" s="10" t="str">
        <f>IF(ISBLANK(Kühl_und_Kältemittel[[#This Row],[Wert 
(Zahl)]]),"",IFERROR(Kühl_und_Kältemittel[[#This Row],[Scope 1 N2O '[kg N2O']]]*IFERROR(VLOOKUP("N2O",GWP_100[],5,FALSE),0),0))</f>
        <v/>
      </c>
      <c r="BH85" s="10" t="str">
        <f>IF(ISBLANK(Kühl_und_Kältemittel[[#This Row],[Wert 
(Zahl)]]),"",IFERROR(Kühl_und_Kältemittel[[#This Row],[Scope 1 HFCs '[kg HFCs']]]*IFERROR(VLOOKUP(Kühl_und_Kältemittel[[#This Row],[Emissionsquelle/Aktivität (Dropdown)]],GWP_100[],6,FALSE),0),0))</f>
        <v/>
      </c>
      <c r="BI85" s="10" t="str">
        <f>IF(ISBLANK(Kühl_und_Kältemittel[[#This Row],[Wert 
(Zahl)]]),"",IFERROR(Kühl_und_Kältemittel[[#This Row],[Scope 1 PFCs '[kg PFCs']]]*IFERROR(VLOOKUP(Kühl_und_Kältemittel[[#This Row],[Emissionsquelle/Aktivität (Dropdown)]],GWP_100[],7,FALSE),0),0))</f>
        <v/>
      </c>
      <c r="BJ85" s="10" t="str">
        <f>IF(ISBLANK(Kühl_und_Kältemittel[[#This Row],[Wert 
(Zahl)]]),"",IFERROR(Kühl_und_Kältemittel[[#This Row],[Scope 1 SF6 '[kg SF6']]]*IFERROR(VLOOKUP("SF6",GWP_100[],8,FALSE),0),0))</f>
        <v/>
      </c>
      <c r="BK85" s="10" t="str">
        <f>IF(ISBLANK(Kühl_und_Kältemittel[[#This Row],[Wert 
(Zahl)]]),"",IFERROR(Kühl_und_Kältemittel[[#This Row],[Scope 1 NF3 '[kg NF3']]]*IFERROR(VLOOKUP("NF3",GWP_100[],9,FALSE),0),0))</f>
        <v/>
      </c>
      <c r="BL85" s="10" t="str">
        <f>IF(ISBLANK(Kühl_und_Kältemittel[[#This Row],[Wert 
(Zahl)]]),"",IFERROR(Kühl_und_Kältemittel[[#This Row],[Scope 1 non-Kyoto '[kg non-Kyoto gas']]]*IFERROR(VLOOKUP(Kühl_und_Kältemittel[[#This Row],[Emissionsquelle/Aktivität (Dropdown)]],GWP_100[],10,FALSE),0),0))</f>
        <v/>
      </c>
      <c r="BM85" s="10" t="str">
        <f>IF(ISBLANK(Kühl_und_Kältemittel[[#This Row],[Wert 
(Zahl)]]),"",IFERROR(Kühl_und_Kältemittel[[#This Row],[Scope 2 CO2 '[kg CO2']]]*IFERROR(VLOOKUP("CO2",GWP_100[],3,FALSE),0),0))</f>
        <v/>
      </c>
      <c r="BN85" s="10" t="str">
        <f>IF(ISBLANK(Kühl_und_Kältemittel[[#This Row],[Wert 
(Zahl)]]),"",IFERROR(Kühl_und_Kältemittel[[#This Row],[Scope 2 CH4 '[kg CH4']]]*IFERROR(VLOOKUP("CH4",GWP_100[],4,FALSE),0),0))</f>
        <v/>
      </c>
      <c r="BO85" s="10" t="str">
        <f>IF(ISBLANK(Kühl_und_Kältemittel[[#This Row],[Wert 
(Zahl)]]),"",IFERROR(Kühl_und_Kältemittel[[#This Row],[Scope 2 N2O '[kg N2O']]]*IFERROR(VLOOKUP("N2O",GWP_100[],5,FALSE),0),0))</f>
        <v/>
      </c>
      <c r="BP85" s="10" t="str">
        <f>IF(ISBLANK(Kühl_und_Kältemittel[[#This Row],[Wert 
(Zahl)]]),"",IFERROR(Kühl_und_Kältemittel[[#This Row],[Scope 2 HFCs '[kg HFCs']]]*IFERROR(VLOOKUP(Kühl_und_Kältemittel[[#This Row],[Emissionsquelle/Aktivität (Dropdown)]],GWP_100[],6,FALSE),0),0))</f>
        <v/>
      </c>
      <c r="BQ85" s="10" t="str">
        <f>IF(ISBLANK(Kühl_und_Kältemittel[[#This Row],[Wert 
(Zahl)]]),"",IFERROR(Kühl_und_Kältemittel[[#This Row],[Scope 2 PFCs '[kg PFCs']]]*IFERROR(VLOOKUP(Kühl_und_Kältemittel[[#This Row],[Emissionsquelle/Aktivität (Dropdown)]],GWP_100[],7,FALSE),0),0))</f>
        <v/>
      </c>
      <c r="BR85" s="10" t="str">
        <f>IF(ISBLANK(Kühl_und_Kältemittel[[#This Row],[Wert 
(Zahl)]]),"",IFERROR(Kühl_und_Kältemittel[[#This Row],[Scope 2 SF6 '[kg SF6']]]*IFERROR(VLOOKUP("SF6",GWP_100[],8,FALSE),0),0))</f>
        <v/>
      </c>
      <c r="BS85" s="10" t="str">
        <f>IF(ISBLANK(Kühl_und_Kältemittel[[#This Row],[Wert 
(Zahl)]]),"",IFERROR(Kühl_und_Kältemittel[[#This Row],[Scope 2 NF3 '[kg NF3']]]*IFERROR(VLOOKUP("NF3",GWP_100[],9,FALSE),0),0))</f>
        <v/>
      </c>
      <c r="BT85" s="10" t="str">
        <f>IF(ISBLANK(Kühl_und_Kältemittel[[#This Row],[Wert 
(Zahl)]]),"",IFERROR(Kühl_und_Kältemittel[[#This Row],[Scope 2 non-Kyoto '[kg non-Kyoto gas']]]*IFERROR(VLOOKUP(Kühl_und_Kältemittel[[#This Row],[Emissionsquelle/Aktivität (Dropdown)]],GWP_100[],10,FALSE),0),0))</f>
        <v/>
      </c>
    </row>
    <row r="86" spans="2:92" s="89" customFormat="1" x14ac:dyDescent="0.35">
      <c r="B86" s="604"/>
      <c r="C86" s="10" t="str">
        <f t="shared" si="2"/>
        <v>Kühl_und_Kältemittel</v>
      </c>
      <c r="D86" s="90"/>
      <c r="E86" s="90"/>
      <c r="F86" s="288"/>
      <c r="G86" s="10" t="str">
        <f>IFERROR(VLOOKUP(Kühl_und_Kältemittel[[#This Row],[Thema_Bezeichung]],EFs_Kühlmittel[],4,FALSE),"")</f>
        <v/>
      </c>
      <c r="H86" s="90"/>
      <c r="I86" s="90"/>
      <c r="J86" s="90"/>
      <c r="K86" s="284" t="str">
        <f>IF(ISBLANK(Kühl_und_Kältemittel[[#This Row],[Wert 
(Zahl)]]),"", SUM(Kühl_und_Kältemittel[[#This Row],[Scope 1 CO2e '[kg CO2e']]:[Scope 3 CO2e '[kg CO2e']]]))</f>
        <v/>
      </c>
      <c r="L86" s="158"/>
      <c r="M86" s="408"/>
      <c r="N86" s="408"/>
      <c r="O86" s="15" t="str">
        <f>IF(ISBLANK(Kühl_und_Kältemittel[[#This Row],[Emissionsquelle/Aktivität (Dropdown)]]),"",CONCATENATE(Kühl_und_Kältemittel[[#This Row],[Sektor_Thema]]," - ",Kühl_und_Kältemittel[[#This Row],[Emissionsquelle/Aktivität (Dropdown)]]))</f>
        <v/>
      </c>
      <c r="P86" s="15"/>
      <c r="Q86" s="15" t="str">
        <f>IFERROR(VLOOKUP(Kühl_und_Kältemittel[[#This Row],[Thema_Bezeichung]],EFs_Kühlmittel[],5,FALSE),"")</f>
        <v/>
      </c>
      <c r="R86" s="15" t="str">
        <f>IFERROR(VLOOKUP(Kühl_und_Kältemittel[[#This Row],[Thema_Bezeichung]],EFs_Kühlmittel[],6,FALSE),"")</f>
        <v/>
      </c>
      <c r="S86" s="15" t="str">
        <f>IFERROR(VLOOKUP(Kühl_und_Kältemittel[[#This Row],[Thema_Bezeichung]],EFs_Kühlmittel[],7,FALSE),"")</f>
        <v/>
      </c>
      <c r="T86" s="15" t="str">
        <f>IFERROR(VLOOKUP(Kühl_und_Kältemittel[[#This Row],[Thema_Bezeichung]],EFs_Kühlmittel[],8,FALSE),"")</f>
        <v/>
      </c>
      <c r="U86" s="15" t="str">
        <f>IFERROR(VLOOKUP(Kühl_und_Kältemittel[[#This Row],[Thema_Bezeichung]],EFs_Kühlmittel[],9,FALSE),"")</f>
        <v/>
      </c>
      <c r="V86" s="15" t="str">
        <f>IFERROR(VLOOKUP(Kühl_und_Kältemittel[[#This Row],[Thema_Bezeichung]],EFs_Kühlmittel[],10,FALSE),"")</f>
        <v/>
      </c>
      <c r="W86" s="15" t="str">
        <f>IFERROR(VLOOKUP(Kühl_und_Kältemittel[[#This Row],[Thema_Bezeichung]],EFs_Kühlmittel[],11,FALSE),"")</f>
        <v/>
      </c>
      <c r="X86" s="15" t="str">
        <f>IFERROR(VLOOKUP(Kühl_und_Kältemittel[[#This Row],[Thema_Bezeichung]],EFs_Kühlmittel[],12,FALSE),"")</f>
        <v/>
      </c>
      <c r="Y86" s="15" t="str">
        <f>IFERROR(VLOOKUP(Kühl_und_Kältemittel[[#This Row],[Thema_Bezeichung]],EFs_Kühlmittel[],13,FALSE),"")</f>
        <v/>
      </c>
      <c r="Z86" s="15" t="str">
        <f>IFERROR(VLOOKUP(Kühl_und_Kältemittel[[#This Row],[Thema_Bezeichung]],EFs_Kühlmittel[],14,FALSE),"")</f>
        <v/>
      </c>
      <c r="AA86" s="15" t="str">
        <f>IFERROR(VLOOKUP(Kühl_und_Kältemittel[[#This Row],[Thema_Bezeichung]],EFs_Kühlmittel[],15,FALSE),"")</f>
        <v/>
      </c>
      <c r="AB86" s="15" t="str">
        <f>IFERROR(VLOOKUP(Kühl_und_Kältemittel[[#This Row],[Thema_Bezeichung]],EFs_Kühlmittel[],16,FALSE),"")</f>
        <v/>
      </c>
      <c r="AC86" s="15" t="str">
        <f>IFERROR(VLOOKUP(Kühl_und_Kältemittel[[#This Row],[Thema_Bezeichung]],EFs_Kühlmittel[],17,FALSE),"")</f>
        <v/>
      </c>
      <c r="AD86" s="15" t="str">
        <f>IFERROR(VLOOKUP(Kühl_und_Kältemittel[[#This Row],[Thema_Bezeichung]],EFs_Kühlmittel[],18,FALSE),"")</f>
        <v/>
      </c>
      <c r="AE86" s="15" t="str">
        <f>IFERROR(VLOOKUP(Kühl_und_Kältemittel[[#This Row],[Thema_Bezeichung]],EFs_Kühlmittel[],19,FALSE),"")</f>
        <v/>
      </c>
      <c r="AF86" s="15" t="str">
        <f>IFERROR(VLOOKUP(Kühl_und_Kältemittel[[#This Row],[Thema_Bezeichung]],EFs_Kühlmittel[],20,FALSE),"")</f>
        <v/>
      </c>
      <c r="AG86" s="15" t="str">
        <f>IFERROR(VLOOKUP(Kühl_und_Kältemittel[[#This Row],[Thema_Bezeichung]],EFs_Kühlmittel[],21,FALSE),"")</f>
        <v/>
      </c>
      <c r="AH86" s="15" t="str">
        <f>IFERROR(VLOOKUP(Kühl_und_Kältemittel[[#This Row],[Thema_Bezeichung]],EFs_Kühlmittel[],22,FALSE),"")</f>
        <v/>
      </c>
      <c r="AI86" s="15" t="str">
        <f>IFERROR(VLOOKUP(Kühl_und_Kältemittel[[#This Row],[Thema_Bezeichung]],EFs_Kühlmittel[],23,FALSE),"")</f>
        <v/>
      </c>
      <c r="AJ86" s="15" t="str">
        <f>IFERROR(VLOOKUP(Kühl_und_Kältemittel[[#This Row],[Thema_Bezeichung]],EFs_Kühlmittel[],24,FALSE),"")</f>
        <v/>
      </c>
      <c r="AK86" s="15" t="str">
        <f>IFERROR(Kühl_und_Kältemittel[[#This Row],[Wert 
(Zahl)]]*Kühl_und_Kältemittel[[#This Row],[EF Scope 1 CO2e
(kg CO2e/Einheit)]],"")</f>
        <v/>
      </c>
      <c r="AL86" s="15" t="str">
        <f>IFERROR(Kühl_und_Kältemittel[[#This Row],[Wert 
(Zahl)]]*Kühl_und_Kältemittel[[#This Row],[EF Scope 2 CO2e
(kg CO2e/Einheit)]],"")</f>
        <v/>
      </c>
      <c r="AM86" s="15" t="str">
        <f>IFERROR(Kühl_und_Kältemittel[[#This Row],[Wert 
(Zahl)]]*Kühl_und_Kältemittel[[#This Row],[EF Scope 3 CO2e
(kg CO2e/Einheit)]],"")</f>
        <v/>
      </c>
      <c r="AN86" s="15" t="str">
        <f>IFERROR(Kühl_und_Kältemittel[[#This Row],[Wert 
(Zahl)]]*Kühl_und_Kältemittel[[#This Row],[EF Scope 1 CO2 biogen
(kg CO2 /Einheit)]],"")</f>
        <v/>
      </c>
      <c r="AO86" s="15" t="str">
        <f>IFERROR(Kühl_und_Kältemittel[[#This Row],[Wert 
(Zahl)]]*Kühl_und_Kältemittel[[#This Row],[EF Scope 1 CO2
(kg CO2/Einheit)]],"")</f>
        <v/>
      </c>
      <c r="AP86" s="15" t="str">
        <f>IFERROR(Kühl_und_Kältemittel[[#This Row],[Wert 
(Zahl)]]*Kühl_und_Kältemittel[[#This Row],[EF Scope 1 CH4
(kg CH4/Einheit)]],"")</f>
        <v/>
      </c>
      <c r="AQ86" s="15" t="str">
        <f>IFERROR(Kühl_und_Kältemittel[[#This Row],[Wert 
(Zahl)]]*Kühl_und_Kältemittel[[#This Row],[EF Scope 1 N2O
(kg N2O/Einheit)]],"")</f>
        <v/>
      </c>
      <c r="AR86" s="15" t="str">
        <f>IFERROR(Kühl_und_Kältemittel[[#This Row],[Wert 
(Zahl)]]*Kühl_und_Kältemittel[[#This Row],[EF Scope 1 HFCs
(kg HFCs/Einheit)]],"")</f>
        <v/>
      </c>
      <c r="AS86" s="15" t="str">
        <f>IFERROR(Kühl_und_Kältemittel[[#This Row],[Wert 
(Zahl)]]*Kühl_und_Kältemittel[[#This Row],[EF Scope 1 PFCs
(kg PFCs/Einheit)]],"")</f>
        <v/>
      </c>
      <c r="AT86" s="15" t="str">
        <f>IFERROR(Kühl_und_Kältemittel[[#This Row],[Wert 
(Zahl)]]*Kühl_und_Kältemittel[[#This Row],[EF Scope 1 SF6
(kg SF6/Einheit)]],"")</f>
        <v/>
      </c>
      <c r="AU86" s="15" t="str">
        <f>IFERROR(Kühl_und_Kältemittel[[#This Row],[Wert 
(Zahl)]]*Kühl_und_Kältemittel[[#This Row],[EF Scope 1 NF3
(kg NF3/Einheit)]],"")</f>
        <v/>
      </c>
      <c r="AV86" s="15" t="str">
        <f>IFERROR(Kühl_und_Kältemittel[[#This Row],[Wert 
(Zahl)]]*Kühl_und_Kältemittel[[#This Row],[EF Scope 1 Nicht-Kyoto-Gase (kg Nicht-Kyoto-Gase/Einheit)]],"")</f>
        <v/>
      </c>
      <c r="AW86" s="15" t="str">
        <f>IFERROR(Kühl_und_Kältemittel[[#This Row],[Wert 
(Zahl)]]*Kühl_und_Kältemittel[[#This Row],[EF Scope 2 CO2
(kg CO2/Einheit)]],"")</f>
        <v/>
      </c>
      <c r="AX86" s="15" t="str">
        <f>IFERROR(Kühl_und_Kältemittel[[#This Row],[Wert 
(Zahl)]]*Kühl_und_Kältemittel[[#This Row],[EF Scope 2 CH4
(kg CH4/Einheit)]],"")</f>
        <v/>
      </c>
      <c r="AY86" s="15" t="str">
        <f>IFERROR(Kühl_und_Kältemittel[[#This Row],[Wert 
(Zahl)]]*Kühl_und_Kältemittel[[#This Row],[EF Scope 2 N2O
(kg N2O/Einheit)]],"")</f>
        <v/>
      </c>
      <c r="AZ86" s="15" t="str">
        <f>IFERROR(Kühl_und_Kältemittel[[#This Row],[Wert 
(Zahl)]]*Kühl_und_Kältemittel[[#This Row],[EF Scope 2 HFCs
(kg HFCs/Einheit)]],"")</f>
        <v/>
      </c>
      <c r="BA86" s="15" t="str">
        <f>IFERROR(Kühl_und_Kältemittel[[#This Row],[Wert 
(Zahl)]]*Kühl_und_Kältemittel[[#This Row],[EF Scope 2 PFCs
(kg PFCs/Einheit)]],"")</f>
        <v/>
      </c>
      <c r="BB86" s="15" t="str">
        <f>IFERROR(Kühl_und_Kältemittel[[#This Row],[Wert 
(Zahl)]]*Kühl_und_Kältemittel[[#This Row],[EF Scope 2 SF6
(kg SF6/Einheit)]],"")</f>
        <v/>
      </c>
      <c r="BC86" s="15" t="str">
        <f>IFERROR(Kühl_und_Kältemittel[[#This Row],[Wert 
(Zahl)]]*Kühl_und_Kältemittel[[#This Row],[EF Scope 2 NF3
(kg NF3/Einheit)]],"")</f>
        <v/>
      </c>
      <c r="BD86" s="15" t="str">
        <f>IFERROR(Kühl_und_Kältemittel[[#This Row],[Wert 
(Zahl)]]*Kühl_und_Kältemittel[[#This Row],[EF Scope 2 Nicht-Kyoto-Gase (kg Nicht-Kyoto-Gase/Einheit)]],"")</f>
        <v/>
      </c>
      <c r="BE86" s="10" t="str">
        <f>IF(ISBLANK(Kühl_und_Kältemittel[[#This Row],[Wert 
(Zahl)]]),"",IFERROR(Kühl_und_Kältemittel[[#This Row],[Scope 1 CO2 '[kg CO2']]]*IFERROR(VLOOKUP("CO2",GWP_100[],3,FALSE),0),0))</f>
        <v/>
      </c>
      <c r="BF86" s="10" t="str">
        <f>IF(ISBLANK(Kühl_und_Kältemittel[[#This Row],[Wert 
(Zahl)]]),"",IFERROR(Kühl_und_Kältemittel[[#This Row],[Scope 1 CH4 '[kg CH4']]]*IFERROR(VLOOKUP("CH4",GWP_100[],4,FALSE),0),0))</f>
        <v/>
      </c>
      <c r="BG86" s="10" t="str">
        <f>IF(ISBLANK(Kühl_und_Kältemittel[[#This Row],[Wert 
(Zahl)]]),"",IFERROR(Kühl_und_Kältemittel[[#This Row],[Scope 1 N2O '[kg N2O']]]*IFERROR(VLOOKUP("N2O",GWP_100[],5,FALSE),0),0))</f>
        <v/>
      </c>
      <c r="BH86" s="10" t="str">
        <f>IF(ISBLANK(Kühl_und_Kältemittel[[#This Row],[Wert 
(Zahl)]]),"",IFERROR(Kühl_und_Kältemittel[[#This Row],[Scope 1 HFCs '[kg HFCs']]]*IFERROR(VLOOKUP(Kühl_und_Kältemittel[[#This Row],[Emissionsquelle/Aktivität (Dropdown)]],GWP_100[],6,FALSE),0),0))</f>
        <v/>
      </c>
      <c r="BI86" s="10" t="str">
        <f>IF(ISBLANK(Kühl_und_Kältemittel[[#This Row],[Wert 
(Zahl)]]),"",IFERROR(Kühl_und_Kältemittel[[#This Row],[Scope 1 PFCs '[kg PFCs']]]*IFERROR(VLOOKUP(Kühl_und_Kältemittel[[#This Row],[Emissionsquelle/Aktivität (Dropdown)]],GWP_100[],7,FALSE),0),0))</f>
        <v/>
      </c>
      <c r="BJ86" s="10" t="str">
        <f>IF(ISBLANK(Kühl_und_Kältemittel[[#This Row],[Wert 
(Zahl)]]),"",IFERROR(Kühl_und_Kältemittel[[#This Row],[Scope 1 SF6 '[kg SF6']]]*IFERROR(VLOOKUP("SF6",GWP_100[],8,FALSE),0),0))</f>
        <v/>
      </c>
      <c r="BK86" s="10" t="str">
        <f>IF(ISBLANK(Kühl_und_Kältemittel[[#This Row],[Wert 
(Zahl)]]),"",IFERROR(Kühl_und_Kältemittel[[#This Row],[Scope 1 NF3 '[kg NF3']]]*IFERROR(VLOOKUP("NF3",GWP_100[],9,FALSE),0),0))</f>
        <v/>
      </c>
      <c r="BL86" s="10" t="str">
        <f>IF(ISBLANK(Kühl_und_Kältemittel[[#This Row],[Wert 
(Zahl)]]),"",IFERROR(Kühl_und_Kältemittel[[#This Row],[Scope 1 non-Kyoto '[kg non-Kyoto gas']]]*IFERROR(VLOOKUP(Kühl_und_Kältemittel[[#This Row],[Emissionsquelle/Aktivität (Dropdown)]],GWP_100[],10,FALSE),0),0))</f>
        <v/>
      </c>
      <c r="BM86" s="10" t="str">
        <f>IF(ISBLANK(Kühl_und_Kältemittel[[#This Row],[Wert 
(Zahl)]]),"",IFERROR(Kühl_und_Kältemittel[[#This Row],[Scope 2 CO2 '[kg CO2']]]*IFERROR(VLOOKUP("CO2",GWP_100[],3,FALSE),0),0))</f>
        <v/>
      </c>
      <c r="BN86" s="10" t="str">
        <f>IF(ISBLANK(Kühl_und_Kältemittel[[#This Row],[Wert 
(Zahl)]]),"",IFERROR(Kühl_und_Kältemittel[[#This Row],[Scope 2 CH4 '[kg CH4']]]*IFERROR(VLOOKUP("CH4",GWP_100[],4,FALSE),0),0))</f>
        <v/>
      </c>
      <c r="BO86" s="10" t="str">
        <f>IF(ISBLANK(Kühl_und_Kältemittel[[#This Row],[Wert 
(Zahl)]]),"",IFERROR(Kühl_und_Kältemittel[[#This Row],[Scope 2 N2O '[kg N2O']]]*IFERROR(VLOOKUP("N2O",GWP_100[],5,FALSE),0),0))</f>
        <v/>
      </c>
      <c r="BP86" s="10" t="str">
        <f>IF(ISBLANK(Kühl_und_Kältemittel[[#This Row],[Wert 
(Zahl)]]),"",IFERROR(Kühl_und_Kältemittel[[#This Row],[Scope 2 HFCs '[kg HFCs']]]*IFERROR(VLOOKUP(Kühl_und_Kältemittel[[#This Row],[Emissionsquelle/Aktivität (Dropdown)]],GWP_100[],6,FALSE),0),0))</f>
        <v/>
      </c>
      <c r="BQ86" s="10" t="str">
        <f>IF(ISBLANK(Kühl_und_Kältemittel[[#This Row],[Wert 
(Zahl)]]),"",IFERROR(Kühl_und_Kältemittel[[#This Row],[Scope 2 PFCs '[kg PFCs']]]*IFERROR(VLOOKUP(Kühl_und_Kältemittel[[#This Row],[Emissionsquelle/Aktivität (Dropdown)]],GWP_100[],7,FALSE),0),0))</f>
        <v/>
      </c>
      <c r="BR86" s="10" t="str">
        <f>IF(ISBLANK(Kühl_und_Kältemittel[[#This Row],[Wert 
(Zahl)]]),"",IFERROR(Kühl_und_Kältemittel[[#This Row],[Scope 2 SF6 '[kg SF6']]]*IFERROR(VLOOKUP("SF6",GWP_100[],8,FALSE),0),0))</f>
        <v/>
      </c>
      <c r="BS86" s="10" t="str">
        <f>IF(ISBLANK(Kühl_und_Kältemittel[[#This Row],[Wert 
(Zahl)]]),"",IFERROR(Kühl_und_Kältemittel[[#This Row],[Scope 2 NF3 '[kg NF3']]]*IFERROR(VLOOKUP("NF3",GWP_100[],9,FALSE),0),0))</f>
        <v/>
      </c>
      <c r="BT86" s="10" t="str">
        <f>IF(ISBLANK(Kühl_und_Kältemittel[[#This Row],[Wert 
(Zahl)]]),"",IFERROR(Kühl_und_Kältemittel[[#This Row],[Scope 2 non-Kyoto '[kg non-Kyoto gas']]]*IFERROR(VLOOKUP(Kühl_und_Kältemittel[[#This Row],[Emissionsquelle/Aktivität (Dropdown)]],GWP_100[],10,FALSE),0),0))</f>
        <v/>
      </c>
    </row>
    <row r="87" spans="2:92" s="89" customFormat="1" x14ac:dyDescent="0.35">
      <c r="B87" s="604"/>
      <c r="C87" s="10" t="str">
        <f t="shared" si="2"/>
        <v>Kühl_und_Kältemittel</v>
      </c>
      <c r="D87" s="90"/>
      <c r="E87" s="90"/>
      <c r="F87" s="288"/>
      <c r="G87" s="10" t="str">
        <f>IFERROR(VLOOKUP(Kühl_und_Kältemittel[[#This Row],[Thema_Bezeichung]],EFs_Kühlmittel[],4,FALSE),"")</f>
        <v/>
      </c>
      <c r="H87" s="90"/>
      <c r="I87" s="90"/>
      <c r="J87" s="90"/>
      <c r="K87" s="284" t="str">
        <f>IF(ISBLANK(Kühl_und_Kältemittel[[#This Row],[Wert 
(Zahl)]]),"", SUM(Kühl_und_Kältemittel[[#This Row],[Scope 1 CO2e '[kg CO2e']]:[Scope 3 CO2e '[kg CO2e']]]))</f>
        <v/>
      </c>
      <c r="L87" s="158"/>
      <c r="M87" s="408"/>
      <c r="N87" s="408"/>
      <c r="O87" s="15" t="str">
        <f>IF(ISBLANK(Kühl_und_Kältemittel[[#This Row],[Emissionsquelle/Aktivität (Dropdown)]]),"",CONCATENATE(Kühl_und_Kältemittel[[#This Row],[Sektor_Thema]]," - ",Kühl_und_Kältemittel[[#This Row],[Emissionsquelle/Aktivität (Dropdown)]]))</f>
        <v/>
      </c>
      <c r="P87" s="15"/>
      <c r="Q87" s="15" t="str">
        <f>IFERROR(VLOOKUP(Kühl_und_Kältemittel[[#This Row],[Thema_Bezeichung]],EFs_Kühlmittel[],5,FALSE),"")</f>
        <v/>
      </c>
      <c r="R87" s="15" t="str">
        <f>IFERROR(VLOOKUP(Kühl_und_Kältemittel[[#This Row],[Thema_Bezeichung]],EFs_Kühlmittel[],6,FALSE),"")</f>
        <v/>
      </c>
      <c r="S87" s="15" t="str">
        <f>IFERROR(VLOOKUP(Kühl_und_Kältemittel[[#This Row],[Thema_Bezeichung]],EFs_Kühlmittel[],7,FALSE),"")</f>
        <v/>
      </c>
      <c r="T87" s="15" t="str">
        <f>IFERROR(VLOOKUP(Kühl_und_Kältemittel[[#This Row],[Thema_Bezeichung]],EFs_Kühlmittel[],8,FALSE),"")</f>
        <v/>
      </c>
      <c r="U87" s="15" t="str">
        <f>IFERROR(VLOOKUP(Kühl_und_Kältemittel[[#This Row],[Thema_Bezeichung]],EFs_Kühlmittel[],9,FALSE),"")</f>
        <v/>
      </c>
      <c r="V87" s="15" t="str">
        <f>IFERROR(VLOOKUP(Kühl_und_Kältemittel[[#This Row],[Thema_Bezeichung]],EFs_Kühlmittel[],10,FALSE),"")</f>
        <v/>
      </c>
      <c r="W87" s="15" t="str">
        <f>IFERROR(VLOOKUP(Kühl_und_Kältemittel[[#This Row],[Thema_Bezeichung]],EFs_Kühlmittel[],11,FALSE),"")</f>
        <v/>
      </c>
      <c r="X87" s="15" t="str">
        <f>IFERROR(VLOOKUP(Kühl_und_Kältemittel[[#This Row],[Thema_Bezeichung]],EFs_Kühlmittel[],12,FALSE),"")</f>
        <v/>
      </c>
      <c r="Y87" s="15" t="str">
        <f>IFERROR(VLOOKUP(Kühl_und_Kältemittel[[#This Row],[Thema_Bezeichung]],EFs_Kühlmittel[],13,FALSE),"")</f>
        <v/>
      </c>
      <c r="Z87" s="15" t="str">
        <f>IFERROR(VLOOKUP(Kühl_und_Kältemittel[[#This Row],[Thema_Bezeichung]],EFs_Kühlmittel[],14,FALSE),"")</f>
        <v/>
      </c>
      <c r="AA87" s="15" t="str">
        <f>IFERROR(VLOOKUP(Kühl_und_Kältemittel[[#This Row],[Thema_Bezeichung]],EFs_Kühlmittel[],15,FALSE),"")</f>
        <v/>
      </c>
      <c r="AB87" s="15" t="str">
        <f>IFERROR(VLOOKUP(Kühl_und_Kältemittel[[#This Row],[Thema_Bezeichung]],EFs_Kühlmittel[],16,FALSE),"")</f>
        <v/>
      </c>
      <c r="AC87" s="15" t="str">
        <f>IFERROR(VLOOKUP(Kühl_und_Kältemittel[[#This Row],[Thema_Bezeichung]],EFs_Kühlmittel[],17,FALSE),"")</f>
        <v/>
      </c>
      <c r="AD87" s="15" t="str">
        <f>IFERROR(VLOOKUP(Kühl_und_Kältemittel[[#This Row],[Thema_Bezeichung]],EFs_Kühlmittel[],18,FALSE),"")</f>
        <v/>
      </c>
      <c r="AE87" s="15" t="str">
        <f>IFERROR(VLOOKUP(Kühl_und_Kältemittel[[#This Row],[Thema_Bezeichung]],EFs_Kühlmittel[],19,FALSE),"")</f>
        <v/>
      </c>
      <c r="AF87" s="15" t="str">
        <f>IFERROR(VLOOKUP(Kühl_und_Kältemittel[[#This Row],[Thema_Bezeichung]],EFs_Kühlmittel[],20,FALSE),"")</f>
        <v/>
      </c>
      <c r="AG87" s="15" t="str">
        <f>IFERROR(VLOOKUP(Kühl_und_Kältemittel[[#This Row],[Thema_Bezeichung]],EFs_Kühlmittel[],21,FALSE),"")</f>
        <v/>
      </c>
      <c r="AH87" s="15" t="str">
        <f>IFERROR(VLOOKUP(Kühl_und_Kältemittel[[#This Row],[Thema_Bezeichung]],EFs_Kühlmittel[],22,FALSE),"")</f>
        <v/>
      </c>
      <c r="AI87" s="15" t="str">
        <f>IFERROR(VLOOKUP(Kühl_und_Kältemittel[[#This Row],[Thema_Bezeichung]],EFs_Kühlmittel[],23,FALSE),"")</f>
        <v/>
      </c>
      <c r="AJ87" s="15" t="str">
        <f>IFERROR(VLOOKUP(Kühl_und_Kältemittel[[#This Row],[Thema_Bezeichung]],EFs_Kühlmittel[],24,FALSE),"")</f>
        <v/>
      </c>
      <c r="AK87" s="15" t="str">
        <f>IFERROR(Kühl_und_Kältemittel[[#This Row],[Wert 
(Zahl)]]*Kühl_und_Kältemittel[[#This Row],[EF Scope 1 CO2e
(kg CO2e/Einheit)]],"")</f>
        <v/>
      </c>
      <c r="AL87" s="15" t="str">
        <f>IFERROR(Kühl_und_Kältemittel[[#This Row],[Wert 
(Zahl)]]*Kühl_und_Kältemittel[[#This Row],[EF Scope 2 CO2e
(kg CO2e/Einheit)]],"")</f>
        <v/>
      </c>
      <c r="AM87" s="15" t="str">
        <f>IFERROR(Kühl_und_Kältemittel[[#This Row],[Wert 
(Zahl)]]*Kühl_und_Kältemittel[[#This Row],[EF Scope 3 CO2e
(kg CO2e/Einheit)]],"")</f>
        <v/>
      </c>
      <c r="AN87" s="15" t="str">
        <f>IFERROR(Kühl_und_Kältemittel[[#This Row],[Wert 
(Zahl)]]*Kühl_und_Kältemittel[[#This Row],[EF Scope 1 CO2 biogen
(kg CO2 /Einheit)]],"")</f>
        <v/>
      </c>
      <c r="AO87" s="15" t="str">
        <f>IFERROR(Kühl_und_Kältemittel[[#This Row],[Wert 
(Zahl)]]*Kühl_und_Kältemittel[[#This Row],[EF Scope 1 CO2
(kg CO2/Einheit)]],"")</f>
        <v/>
      </c>
      <c r="AP87" s="15" t="str">
        <f>IFERROR(Kühl_und_Kältemittel[[#This Row],[Wert 
(Zahl)]]*Kühl_und_Kältemittel[[#This Row],[EF Scope 1 CH4
(kg CH4/Einheit)]],"")</f>
        <v/>
      </c>
      <c r="AQ87" s="15" t="str">
        <f>IFERROR(Kühl_und_Kältemittel[[#This Row],[Wert 
(Zahl)]]*Kühl_und_Kältemittel[[#This Row],[EF Scope 1 N2O
(kg N2O/Einheit)]],"")</f>
        <v/>
      </c>
      <c r="AR87" s="15" t="str">
        <f>IFERROR(Kühl_und_Kältemittel[[#This Row],[Wert 
(Zahl)]]*Kühl_und_Kältemittel[[#This Row],[EF Scope 1 HFCs
(kg HFCs/Einheit)]],"")</f>
        <v/>
      </c>
      <c r="AS87" s="15" t="str">
        <f>IFERROR(Kühl_und_Kältemittel[[#This Row],[Wert 
(Zahl)]]*Kühl_und_Kältemittel[[#This Row],[EF Scope 1 PFCs
(kg PFCs/Einheit)]],"")</f>
        <v/>
      </c>
      <c r="AT87" s="15" t="str">
        <f>IFERROR(Kühl_und_Kältemittel[[#This Row],[Wert 
(Zahl)]]*Kühl_und_Kältemittel[[#This Row],[EF Scope 1 SF6
(kg SF6/Einheit)]],"")</f>
        <v/>
      </c>
      <c r="AU87" s="15" t="str">
        <f>IFERROR(Kühl_und_Kältemittel[[#This Row],[Wert 
(Zahl)]]*Kühl_und_Kältemittel[[#This Row],[EF Scope 1 NF3
(kg NF3/Einheit)]],"")</f>
        <v/>
      </c>
      <c r="AV87" s="15" t="str">
        <f>IFERROR(Kühl_und_Kältemittel[[#This Row],[Wert 
(Zahl)]]*Kühl_und_Kältemittel[[#This Row],[EF Scope 1 Nicht-Kyoto-Gase (kg Nicht-Kyoto-Gase/Einheit)]],"")</f>
        <v/>
      </c>
      <c r="AW87" s="15" t="str">
        <f>IFERROR(Kühl_und_Kältemittel[[#This Row],[Wert 
(Zahl)]]*Kühl_und_Kältemittel[[#This Row],[EF Scope 2 CO2
(kg CO2/Einheit)]],"")</f>
        <v/>
      </c>
      <c r="AX87" s="15" t="str">
        <f>IFERROR(Kühl_und_Kältemittel[[#This Row],[Wert 
(Zahl)]]*Kühl_und_Kältemittel[[#This Row],[EF Scope 2 CH4
(kg CH4/Einheit)]],"")</f>
        <v/>
      </c>
      <c r="AY87" s="15" t="str">
        <f>IFERROR(Kühl_und_Kältemittel[[#This Row],[Wert 
(Zahl)]]*Kühl_und_Kältemittel[[#This Row],[EF Scope 2 N2O
(kg N2O/Einheit)]],"")</f>
        <v/>
      </c>
      <c r="AZ87" s="15" t="str">
        <f>IFERROR(Kühl_und_Kältemittel[[#This Row],[Wert 
(Zahl)]]*Kühl_und_Kältemittel[[#This Row],[EF Scope 2 HFCs
(kg HFCs/Einheit)]],"")</f>
        <v/>
      </c>
      <c r="BA87" s="15" t="str">
        <f>IFERROR(Kühl_und_Kältemittel[[#This Row],[Wert 
(Zahl)]]*Kühl_und_Kältemittel[[#This Row],[EF Scope 2 PFCs
(kg PFCs/Einheit)]],"")</f>
        <v/>
      </c>
      <c r="BB87" s="15" t="str">
        <f>IFERROR(Kühl_und_Kältemittel[[#This Row],[Wert 
(Zahl)]]*Kühl_und_Kältemittel[[#This Row],[EF Scope 2 SF6
(kg SF6/Einheit)]],"")</f>
        <v/>
      </c>
      <c r="BC87" s="15" t="str">
        <f>IFERROR(Kühl_und_Kältemittel[[#This Row],[Wert 
(Zahl)]]*Kühl_und_Kältemittel[[#This Row],[EF Scope 2 NF3
(kg NF3/Einheit)]],"")</f>
        <v/>
      </c>
      <c r="BD87" s="15" t="str">
        <f>IFERROR(Kühl_und_Kältemittel[[#This Row],[Wert 
(Zahl)]]*Kühl_und_Kältemittel[[#This Row],[EF Scope 2 Nicht-Kyoto-Gase (kg Nicht-Kyoto-Gase/Einheit)]],"")</f>
        <v/>
      </c>
      <c r="BE87" s="10" t="str">
        <f>IF(ISBLANK(Kühl_und_Kältemittel[[#This Row],[Wert 
(Zahl)]]),"",IFERROR(Kühl_und_Kältemittel[[#This Row],[Scope 1 CO2 '[kg CO2']]]*IFERROR(VLOOKUP("CO2",GWP_100[],3,FALSE),0),0))</f>
        <v/>
      </c>
      <c r="BF87" s="10" t="str">
        <f>IF(ISBLANK(Kühl_und_Kältemittel[[#This Row],[Wert 
(Zahl)]]),"",IFERROR(Kühl_und_Kältemittel[[#This Row],[Scope 1 CH4 '[kg CH4']]]*IFERROR(VLOOKUP("CH4",GWP_100[],4,FALSE),0),0))</f>
        <v/>
      </c>
      <c r="BG87" s="10" t="str">
        <f>IF(ISBLANK(Kühl_und_Kältemittel[[#This Row],[Wert 
(Zahl)]]),"",IFERROR(Kühl_und_Kältemittel[[#This Row],[Scope 1 N2O '[kg N2O']]]*IFERROR(VLOOKUP("N2O",GWP_100[],5,FALSE),0),0))</f>
        <v/>
      </c>
      <c r="BH87" s="10" t="str">
        <f>IF(ISBLANK(Kühl_und_Kältemittel[[#This Row],[Wert 
(Zahl)]]),"",IFERROR(Kühl_und_Kältemittel[[#This Row],[Scope 1 HFCs '[kg HFCs']]]*IFERROR(VLOOKUP(Kühl_und_Kältemittel[[#This Row],[Emissionsquelle/Aktivität (Dropdown)]],GWP_100[],6,FALSE),0),0))</f>
        <v/>
      </c>
      <c r="BI87" s="10" t="str">
        <f>IF(ISBLANK(Kühl_und_Kältemittel[[#This Row],[Wert 
(Zahl)]]),"",IFERROR(Kühl_und_Kältemittel[[#This Row],[Scope 1 PFCs '[kg PFCs']]]*IFERROR(VLOOKUP(Kühl_und_Kältemittel[[#This Row],[Emissionsquelle/Aktivität (Dropdown)]],GWP_100[],7,FALSE),0),0))</f>
        <v/>
      </c>
      <c r="BJ87" s="10" t="str">
        <f>IF(ISBLANK(Kühl_und_Kältemittel[[#This Row],[Wert 
(Zahl)]]),"",IFERROR(Kühl_und_Kältemittel[[#This Row],[Scope 1 SF6 '[kg SF6']]]*IFERROR(VLOOKUP("SF6",GWP_100[],8,FALSE),0),0))</f>
        <v/>
      </c>
      <c r="BK87" s="10" t="str">
        <f>IF(ISBLANK(Kühl_und_Kältemittel[[#This Row],[Wert 
(Zahl)]]),"",IFERROR(Kühl_und_Kältemittel[[#This Row],[Scope 1 NF3 '[kg NF3']]]*IFERROR(VLOOKUP("NF3",GWP_100[],9,FALSE),0),0))</f>
        <v/>
      </c>
      <c r="BL87" s="10" t="str">
        <f>IF(ISBLANK(Kühl_und_Kältemittel[[#This Row],[Wert 
(Zahl)]]),"",IFERROR(Kühl_und_Kältemittel[[#This Row],[Scope 1 non-Kyoto '[kg non-Kyoto gas']]]*IFERROR(VLOOKUP(Kühl_und_Kältemittel[[#This Row],[Emissionsquelle/Aktivität (Dropdown)]],GWP_100[],10,FALSE),0),0))</f>
        <v/>
      </c>
      <c r="BM87" s="10" t="str">
        <f>IF(ISBLANK(Kühl_und_Kältemittel[[#This Row],[Wert 
(Zahl)]]),"",IFERROR(Kühl_und_Kältemittel[[#This Row],[Scope 2 CO2 '[kg CO2']]]*IFERROR(VLOOKUP("CO2",GWP_100[],3,FALSE),0),0))</f>
        <v/>
      </c>
      <c r="BN87" s="10" t="str">
        <f>IF(ISBLANK(Kühl_und_Kältemittel[[#This Row],[Wert 
(Zahl)]]),"",IFERROR(Kühl_und_Kältemittel[[#This Row],[Scope 2 CH4 '[kg CH4']]]*IFERROR(VLOOKUP("CH4",GWP_100[],4,FALSE),0),0))</f>
        <v/>
      </c>
      <c r="BO87" s="10" t="str">
        <f>IF(ISBLANK(Kühl_und_Kältemittel[[#This Row],[Wert 
(Zahl)]]),"",IFERROR(Kühl_und_Kältemittel[[#This Row],[Scope 2 N2O '[kg N2O']]]*IFERROR(VLOOKUP("N2O",GWP_100[],5,FALSE),0),0))</f>
        <v/>
      </c>
      <c r="BP87" s="10" t="str">
        <f>IF(ISBLANK(Kühl_und_Kältemittel[[#This Row],[Wert 
(Zahl)]]),"",IFERROR(Kühl_und_Kältemittel[[#This Row],[Scope 2 HFCs '[kg HFCs']]]*IFERROR(VLOOKUP(Kühl_und_Kältemittel[[#This Row],[Emissionsquelle/Aktivität (Dropdown)]],GWP_100[],6,FALSE),0),0))</f>
        <v/>
      </c>
      <c r="BQ87" s="10" t="str">
        <f>IF(ISBLANK(Kühl_und_Kältemittel[[#This Row],[Wert 
(Zahl)]]),"",IFERROR(Kühl_und_Kältemittel[[#This Row],[Scope 2 PFCs '[kg PFCs']]]*IFERROR(VLOOKUP(Kühl_und_Kältemittel[[#This Row],[Emissionsquelle/Aktivität (Dropdown)]],GWP_100[],7,FALSE),0),0))</f>
        <v/>
      </c>
      <c r="BR87" s="10" t="str">
        <f>IF(ISBLANK(Kühl_und_Kältemittel[[#This Row],[Wert 
(Zahl)]]),"",IFERROR(Kühl_und_Kältemittel[[#This Row],[Scope 2 SF6 '[kg SF6']]]*IFERROR(VLOOKUP("SF6",GWP_100[],8,FALSE),0),0))</f>
        <v/>
      </c>
      <c r="BS87" s="10" t="str">
        <f>IF(ISBLANK(Kühl_und_Kältemittel[[#This Row],[Wert 
(Zahl)]]),"",IFERROR(Kühl_und_Kältemittel[[#This Row],[Scope 2 NF3 '[kg NF3']]]*IFERROR(VLOOKUP("NF3",GWP_100[],9,FALSE),0),0))</f>
        <v/>
      </c>
      <c r="BT87" s="10" t="str">
        <f>IF(ISBLANK(Kühl_und_Kältemittel[[#This Row],[Wert 
(Zahl)]]),"",IFERROR(Kühl_und_Kältemittel[[#This Row],[Scope 2 non-Kyoto '[kg non-Kyoto gas']]]*IFERROR(VLOOKUP(Kühl_und_Kältemittel[[#This Row],[Emissionsquelle/Aktivität (Dropdown)]],GWP_100[],10,FALSE),0),0))</f>
        <v/>
      </c>
    </row>
    <row r="88" spans="2:92" s="89" customFormat="1" x14ac:dyDescent="0.35">
      <c r="B88" s="604"/>
      <c r="C88" s="10" t="str">
        <f t="shared" si="2"/>
        <v>Kühl_und_Kältemittel</v>
      </c>
      <c r="D88" s="90"/>
      <c r="E88" s="90"/>
      <c r="F88" s="288"/>
      <c r="G88" s="10" t="str">
        <f>IFERROR(VLOOKUP(Kühl_und_Kältemittel[[#This Row],[Thema_Bezeichung]],EFs_Kühlmittel[],4,FALSE),"")</f>
        <v/>
      </c>
      <c r="H88" s="90"/>
      <c r="I88" s="90"/>
      <c r="J88" s="90"/>
      <c r="K88" s="284" t="str">
        <f>IF(ISBLANK(Kühl_und_Kältemittel[[#This Row],[Wert 
(Zahl)]]),"", SUM(Kühl_und_Kältemittel[[#This Row],[Scope 1 CO2e '[kg CO2e']]:[Scope 3 CO2e '[kg CO2e']]]))</f>
        <v/>
      </c>
      <c r="L88" s="158"/>
      <c r="M88" s="408"/>
      <c r="N88" s="408"/>
      <c r="O88" s="15" t="str">
        <f>IF(ISBLANK(Kühl_und_Kältemittel[[#This Row],[Emissionsquelle/Aktivität (Dropdown)]]),"",CONCATENATE(Kühl_und_Kältemittel[[#This Row],[Sektor_Thema]]," - ",Kühl_und_Kältemittel[[#This Row],[Emissionsquelle/Aktivität (Dropdown)]]))</f>
        <v/>
      </c>
      <c r="P88" s="15"/>
      <c r="Q88" s="15" t="str">
        <f>IFERROR(VLOOKUP(Kühl_und_Kältemittel[[#This Row],[Thema_Bezeichung]],EFs_Kühlmittel[],5,FALSE),"")</f>
        <v/>
      </c>
      <c r="R88" s="15" t="str">
        <f>IFERROR(VLOOKUP(Kühl_und_Kältemittel[[#This Row],[Thema_Bezeichung]],EFs_Kühlmittel[],6,FALSE),"")</f>
        <v/>
      </c>
      <c r="S88" s="15" t="str">
        <f>IFERROR(VLOOKUP(Kühl_und_Kältemittel[[#This Row],[Thema_Bezeichung]],EFs_Kühlmittel[],7,FALSE),"")</f>
        <v/>
      </c>
      <c r="T88" s="15" t="str">
        <f>IFERROR(VLOOKUP(Kühl_und_Kältemittel[[#This Row],[Thema_Bezeichung]],EFs_Kühlmittel[],8,FALSE),"")</f>
        <v/>
      </c>
      <c r="U88" s="15" t="str">
        <f>IFERROR(VLOOKUP(Kühl_und_Kältemittel[[#This Row],[Thema_Bezeichung]],EFs_Kühlmittel[],9,FALSE),"")</f>
        <v/>
      </c>
      <c r="V88" s="15" t="str">
        <f>IFERROR(VLOOKUP(Kühl_und_Kältemittel[[#This Row],[Thema_Bezeichung]],EFs_Kühlmittel[],10,FALSE),"")</f>
        <v/>
      </c>
      <c r="W88" s="15" t="str">
        <f>IFERROR(VLOOKUP(Kühl_und_Kältemittel[[#This Row],[Thema_Bezeichung]],EFs_Kühlmittel[],11,FALSE),"")</f>
        <v/>
      </c>
      <c r="X88" s="15" t="str">
        <f>IFERROR(VLOOKUP(Kühl_und_Kältemittel[[#This Row],[Thema_Bezeichung]],EFs_Kühlmittel[],12,FALSE),"")</f>
        <v/>
      </c>
      <c r="Y88" s="15" t="str">
        <f>IFERROR(VLOOKUP(Kühl_und_Kältemittel[[#This Row],[Thema_Bezeichung]],EFs_Kühlmittel[],13,FALSE),"")</f>
        <v/>
      </c>
      <c r="Z88" s="15" t="str">
        <f>IFERROR(VLOOKUP(Kühl_und_Kältemittel[[#This Row],[Thema_Bezeichung]],EFs_Kühlmittel[],14,FALSE),"")</f>
        <v/>
      </c>
      <c r="AA88" s="15" t="str">
        <f>IFERROR(VLOOKUP(Kühl_und_Kältemittel[[#This Row],[Thema_Bezeichung]],EFs_Kühlmittel[],15,FALSE),"")</f>
        <v/>
      </c>
      <c r="AB88" s="15" t="str">
        <f>IFERROR(VLOOKUP(Kühl_und_Kältemittel[[#This Row],[Thema_Bezeichung]],EFs_Kühlmittel[],16,FALSE),"")</f>
        <v/>
      </c>
      <c r="AC88" s="15" t="str">
        <f>IFERROR(VLOOKUP(Kühl_und_Kältemittel[[#This Row],[Thema_Bezeichung]],EFs_Kühlmittel[],17,FALSE),"")</f>
        <v/>
      </c>
      <c r="AD88" s="15" t="str">
        <f>IFERROR(VLOOKUP(Kühl_und_Kältemittel[[#This Row],[Thema_Bezeichung]],EFs_Kühlmittel[],18,FALSE),"")</f>
        <v/>
      </c>
      <c r="AE88" s="15" t="str">
        <f>IFERROR(VLOOKUP(Kühl_und_Kältemittel[[#This Row],[Thema_Bezeichung]],EFs_Kühlmittel[],19,FALSE),"")</f>
        <v/>
      </c>
      <c r="AF88" s="15" t="str">
        <f>IFERROR(VLOOKUP(Kühl_und_Kältemittel[[#This Row],[Thema_Bezeichung]],EFs_Kühlmittel[],20,FALSE),"")</f>
        <v/>
      </c>
      <c r="AG88" s="15" t="str">
        <f>IFERROR(VLOOKUP(Kühl_und_Kältemittel[[#This Row],[Thema_Bezeichung]],EFs_Kühlmittel[],21,FALSE),"")</f>
        <v/>
      </c>
      <c r="AH88" s="15" t="str">
        <f>IFERROR(VLOOKUP(Kühl_und_Kältemittel[[#This Row],[Thema_Bezeichung]],EFs_Kühlmittel[],22,FALSE),"")</f>
        <v/>
      </c>
      <c r="AI88" s="15" t="str">
        <f>IFERROR(VLOOKUP(Kühl_und_Kältemittel[[#This Row],[Thema_Bezeichung]],EFs_Kühlmittel[],23,FALSE),"")</f>
        <v/>
      </c>
      <c r="AJ88" s="15" t="str">
        <f>IFERROR(VLOOKUP(Kühl_und_Kältemittel[[#This Row],[Thema_Bezeichung]],EFs_Kühlmittel[],24,FALSE),"")</f>
        <v/>
      </c>
      <c r="AK88" s="15" t="str">
        <f>IFERROR(Kühl_und_Kältemittel[[#This Row],[Wert 
(Zahl)]]*Kühl_und_Kältemittel[[#This Row],[EF Scope 1 CO2e
(kg CO2e/Einheit)]],"")</f>
        <v/>
      </c>
      <c r="AL88" s="15" t="str">
        <f>IFERROR(Kühl_und_Kältemittel[[#This Row],[Wert 
(Zahl)]]*Kühl_und_Kältemittel[[#This Row],[EF Scope 2 CO2e
(kg CO2e/Einheit)]],"")</f>
        <v/>
      </c>
      <c r="AM88" s="15" t="str">
        <f>IFERROR(Kühl_und_Kältemittel[[#This Row],[Wert 
(Zahl)]]*Kühl_und_Kältemittel[[#This Row],[EF Scope 3 CO2e
(kg CO2e/Einheit)]],"")</f>
        <v/>
      </c>
      <c r="AN88" s="15" t="str">
        <f>IFERROR(Kühl_und_Kältemittel[[#This Row],[Wert 
(Zahl)]]*Kühl_und_Kältemittel[[#This Row],[EF Scope 1 CO2 biogen
(kg CO2 /Einheit)]],"")</f>
        <v/>
      </c>
      <c r="AO88" s="15" t="str">
        <f>IFERROR(Kühl_und_Kältemittel[[#This Row],[Wert 
(Zahl)]]*Kühl_und_Kältemittel[[#This Row],[EF Scope 1 CO2
(kg CO2/Einheit)]],"")</f>
        <v/>
      </c>
      <c r="AP88" s="15" t="str">
        <f>IFERROR(Kühl_und_Kältemittel[[#This Row],[Wert 
(Zahl)]]*Kühl_und_Kältemittel[[#This Row],[EF Scope 1 CH4
(kg CH4/Einheit)]],"")</f>
        <v/>
      </c>
      <c r="AQ88" s="15" t="str">
        <f>IFERROR(Kühl_und_Kältemittel[[#This Row],[Wert 
(Zahl)]]*Kühl_und_Kältemittel[[#This Row],[EF Scope 1 N2O
(kg N2O/Einheit)]],"")</f>
        <v/>
      </c>
      <c r="AR88" s="15" t="str">
        <f>IFERROR(Kühl_und_Kältemittel[[#This Row],[Wert 
(Zahl)]]*Kühl_und_Kältemittel[[#This Row],[EF Scope 1 HFCs
(kg HFCs/Einheit)]],"")</f>
        <v/>
      </c>
      <c r="AS88" s="15" t="str">
        <f>IFERROR(Kühl_und_Kältemittel[[#This Row],[Wert 
(Zahl)]]*Kühl_und_Kältemittel[[#This Row],[EF Scope 1 PFCs
(kg PFCs/Einheit)]],"")</f>
        <v/>
      </c>
      <c r="AT88" s="15" t="str">
        <f>IFERROR(Kühl_und_Kältemittel[[#This Row],[Wert 
(Zahl)]]*Kühl_und_Kältemittel[[#This Row],[EF Scope 1 SF6
(kg SF6/Einheit)]],"")</f>
        <v/>
      </c>
      <c r="AU88" s="15" t="str">
        <f>IFERROR(Kühl_und_Kältemittel[[#This Row],[Wert 
(Zahl)]]*Kühl_und_Kältemittel[[#This Row],[EF Scope 1 NF3
(kg NF3/Einheit)]],"")</f>
        <v/>
      </c>
      <c r="AV88" s="15" t="str">
        <f>IFERROR(Kühl_und_Kältemittel[[#This Row],[Wert 
(Zahl)]]*Kühl_und_Kältemittel[[#This Row],[EF Scope 1 Nicht-Kyoto-Gase (kg Nicht-Kyoto-Gase/Einheit)]],"")</f>
        <v/>
      </c>
      <c r="AW88" s="15" t="str">
        <f>IFERROR(Kühl_und_Kältemittel[[#This Row],[Wert 
(Zahl)]]*Kühl_und_Kältemittel[[#This Row],[EF Scope 2 CO2
(kg CO2/Einheit)]],"")</f>
        <v/>
      </c>
      <c r="AX88" s="15" t="str">
        <f>IFERROR(Kühl_und_Kältemittel[[#This Row],[Wert 
(Zahl)]]*Kühl_und_Kältemittel[[#This Row],[EF Scope 2 CH4
(kg CH4/Einheit)]],"")</f>
        <v/>
      </c>
      <c r="AY88" s="15" t="str">
        <f>IFERROR(Kühl_und_Kältemittel[[#This Row],[Wert 
(Zahl)]]*Kühl_und_Kältemittel[[#This Row],[EF Scope 2 N2O
(kg N2O/Einheit)]],"")</f>
        <v/>
      </c>
      <c r="AZ88" s="15" t="str">
        <f>IFERROR(Kühl_und_Kältemittel[[#This Row],[Wert 
(Zahl)]]*Kühl_und_Kältemittel[[#This Row],[EF Scope 2 HFCs
(kg HFCs/Einheit)]],"")</f>
        <v/>
      </c>
      <c r="BA88" s="15" t="str">
        <f>IFERROR(Kühl_und_Kältemittel[[#This Row],[Wert 
(Zahl)]]*Kühl_und_Kältemittel[[#This Row],[EF Scope 2 PFCs
(kg PFCs/Einheit)]],"")</f>
        <v/>
      </c>
      <c r="BB88" s="15" t="str">
        <f>IFERROR(Kühl_und_Kältemittel[[#This Row],[Wert 
(Zahl)]]*Kühl_und_Kältemittel[[#This Row],[EF Scope 2 SF6
(kg SF6/Einheit)]],"")</f>
        <v/>
      </c>
      <c r="BC88" s="15" t="str">
        <f>IFERROR(Kühl_und_Kältemittel[[#This Row],[Wert 
(Zahl)]]*Kühl_und_Kältemittel[[#This Row],[EF Scope 2 NF3
(kg NF3/Einheit)]],"")</f>
        <v/>
      </c>
      <c r="BD88" s="15" t="str">
        <f>IFERROR(Kühl_und_Kältemittel[[#This Row],[Wert 
(Zahl)]]*Kühl_und_Kältemittel[[#This Row],[EF Scope 2 Nicht-Kyoto-Gase (kg Nicht-Kyoto-Gase/Einheit)]],"")</f>
        <v/>
      </c>
      <c r="BE88" s="10" t="str">
        <f>IF(ISBLANK(Kühl_und_Kältemittel[[#This Row],[Wert 
(Zahl)]]),"",IFERROR(Kühl_und_Kältemittel[[#This Row],[Scope 1 CO2 '[kg CO2']]]*IFERROR(VLOOKUP("CO2",GWP_100[],3,FALSE),0),0))</f>
        <v/>
      </c>
      <c r="BF88" s="10" t="str">
        <f>IF(ISBLANK(Kühl_und_Kältemittel[[#This Row],[Wert 
(Zahl)]]),"",IFERROR(Kühl_und_Kältemittel[[#This Row],[Scope 1 CH4 '[kg CH4']]]*IFERROR(VLOOKUP("CH4",GWP_100[],4,FALSE),0),0))</f>
        <v/>
      </c>
      <c r="BG88" s="10" t="str">
        <f>IF(ISBLANK(Kühl_und_Kältemittel[[#This Row],[Wert 
(Zahl)]]),"",IFERROR(Kühl_und_Kältemittel[[#This Row],[Scope 1 N2O '[kg N2O']]]*IFERROR(VLOOKUP("N2O",GWP_100[],5,FALSE),0),0))</f>
        <v/>
      </c>
      <c r="BH88" s="10" t="str">
        <f>IF(ISBLANK(Kühl_und_Kältemittel[[#This Row],[Wert 
(Zahl)]]),"",IFERROR(Kühl_und_Kältemittel[[#This Row],[Scope 1 HFCs '[kg HFCs']]]*IFERROR(VLOOKUP(Kühl_und_Kältemittel[[#This Row],[Emissionsquelle/Aktivität (Dropdown)]],GWP_100[],6,FALSE),0),0))</f>
        <v/>
      </c>
      <c r="BI88" s="10" t="str">
        <f>IF(ISBLANK(Kühl_und_Kältemittel[[#This Row],[Wert 
(Zahl)]]),"",IFERROR(Kühl_und_Kältemittel[[#This Row],[Scope 1 PFCs '[kg PFCs']]]*IFERROR(VLOOKUP(Kühl_und_Kältemittel[[#This Row],[Emissionsquelle/Aktivität (Dropdown)]],GWP_100[],7,FALSE),0),0))</f>
        <v/>
      </c>
      <c r="BJ88" s="10" t="str">
        <f>IF(ISBLANK(Kühl_und_Kältemittel[[#This Row],[Wert 
(Zahl)]]),"",IFERROR(Kühl_und_Kältemittel[[#This Row],[Scope 1 SF6 '[kg SF6']]]*IFERROR(VLOOKUP("SF6",GWP_100[],8,FALSE),0),0))</f>
        <v/>
      </c>
      <c r="BK88" s="10" t="str">
        <f>IF(ISBLANK(Kühl_und_Kältemittel[[#This Row],[Wert 
(Zahl)]]),"",IFERROR(Kühl_und_Kältemittel[[#This Row],[Scope 1 NF3 '[kg NF3']]]*IFERROR(VLOOKUP("NF3",GWP_100[],9,FALSE),0),0))</f>
        <v/>
      </c>
      <c r="BL88" s="10" t="str">
        <f>IF(ISBLANK(Kühl_und_Kältemittel[[#This Row],[Wert 
(Zahl)]]),"",IFERROR(Kühl_und_Kältemittel[[#This Row],[Scope 1 non-Kyoto '[kg non-Kyoto gas']]]*IFERROR(VLOOKUP(Kühl_und_Kältemittel[[#This Row],[Emissionsquelle/Aktivität (Dropdown)]],GWP_100[],10,FALSE),0),0))</f>
        <v/>
      </c>
      <c r="BM88" s="10" t="str">
        <f>IF(ISBLANK(Kühl_und_Kältemittel[[#This Row],[Wert 
(Zahl)]]),"",IFERROR(Kühl_und_Kältemittel[[#This Row],[Scope 2 CO2 '[kg CO2']]]*IFERROR(VLOOKUP("CO2",GWP_100[],3,FALSE),0),0))</f>
        <v/>
      </c>
      <c r="BN88" s="10" t="str">
        <f>IF(ISBLANK(Kühl_und_Kältemittel[[#This Row],[Wert 
(Zahl)]]),"",IFERROR(Kühl_und_Kältemittel[[#This Row],[Scope 2 CH4 '[kg CH4']]]*IFERROR(VLOOKUP("CH4",GWP_100[],4,FALSE),0),0))</f>
        <v/>
      </c>
      <c r="BO88" s="10" t="str">
        <f>IF(ISBLANK(Kühl_und_Kältemittel[[#This Row],[Wert 
(Zahl)]]),"",IFERROR(Kühl_und_Kältemittel[[#This Row],[Scope 2 N2O '[kg N2O']]]*IFERROR(VLOOKUP("N2O",GWP_100[],5,FALSE),0),0))</f>
        <v/>
      </c>
      <c r="BP88" s="10" t="str">
        <f>IF(ISBLANK(Kühl_und_Kältemittel[[#This Row],[Wert 
(Zahl)]]),"",IFERROR(Kühl_und_Kältemittel[[#This Row],[Scope 2 HFCs '[kg HFCs']]]*IFERROR(VLOOKUP(Kühl_und_Kältemittel[[#This Row],[Emissionsquelle/Aktivität (Dropdown)]],GWP_100[],6,FALSE),0),0))</f>
        <v/>
      </c>
      <c r="BQ88" s="10" t="str">
        <f>IF(ISBLANK(Kühl_und_Kältemittel[[#This Row],[Wert 
(Zahl)]]),"",IFERROR(Kühl_und_Kältemittel[[#This Row],[Scope 2 PFCs '[kg PFCs']]]*IFERROR(VLOOKUP(Kühl_und_Kältemittel[[#This Row],[Emissionsquelle/Aktivität (Dropdown)]],GWP_100[],7,FALSE),0),0))</f>
        <v/>
      </c>
      <c r="BR88" s="10" t="str">
        <f>IF(ISBLANK(Kühl_und_Kältemittel[[#This Row],[Wert 
(Zahl)]]),"",IFERROR(Kühl_und_Kältemittel[[#This Row],[Scope 2 SF6 '[kg SF6']]]*IFERROR(VLOOKUP("SF6",GWP_100[],8,FALSE),0),0))</f>
        <v/>
      </c>
      <c r="BS88" s="10" t="str">
        <f>IF(ISBLANK(Kühl_und_Kältemittel[[#This Row],[Wert 
(Zahl)]]),"",IFERROR(Kühl_und_Kältemittel[[#This Row],[Scope 2 NF3 '[kg NF3']]]*IFERROR(VLOOKUP("NF3",GWP_100[],9,FALSE),0),0))</f>
        <v/>
      </c>
      <c r="BT88" s="10" t="str">
        <f>IF(ISBLANK(Kühl_und_Kältemittel[[#This Row],[Wert 
(Zahl)]]),"",IFERROR(Kühl_und_Kältemittel[[#This Row],[Scope 2 non-Kyoto '[kg non-Kyoto gas']]]*IFERROR(VLOOKUP(Kühl_und_Kältemittel[[#This Row],[Emissionsquelle/Aktivität (Dropdown)]],GWP_100[],10,FALSE),0),0))</f>
        <v/>
      </c>
    </row>
    <row r="89" spans="2:92" s="89" customFormat="1" x14ac:dyDescent="0.35">
      <c r="B89" s="604"/>
      <c r="C89" s="10" t="str">
        <f t="shared" si="2"/>
        <v>Kühl_und_Kältemittel</v>
      </c>
      <c r="D89" s="90"/>
      <c r="E89" s="90"/>
      <c r="F89" s="288"/>
      <c r="G89" s="10" t="str">
        <f>IFERROR(VLOOKUP(Kühl_und_Kältemittel[[#This Row],[Thema_Bezeichung]],EFs_Kühlmittel[],4,FALSE),"")</f>
        <v/>
      </c>
      <c r="H89" s="90"/>
      <c r="I89" s="90"/>
      <c r="J89" s="90"/>
      <c r="K89" s="284" t="str">
        <f>IF(ISBLANK(Kühl_und_Kältemittel[[#This Row],[Wert 
(Zahl)]]),"", SUM(Kühl_und_Kältemittel[[#This Row],[Scope 1 CO2e '[kg CO2e']]:[Scope 3 CO2e '[kg CO2e']]]))</f>
        <v/>
      </c>
      <c r="L89" s="158"/>
      <c r="M89" s="408"/>
      <c r="N89" s="408"/>
      <c r="O89" s="15" t="str">
        <f>IF(ISBLANK(Kühl_und_Kältemittel[[#This Row],[Emissionsquelle/Aktivität (Dropdown)]]),"",CONCATENATE(Kühl_und_Kältemittel[[#This Row],[Sektor_Thema]]," - ",Kühl_und_Kältemittel[[#This Row],[Emissionsquelle/Aktivität (Dropdown)]]))</f>
        <v/>
      </c>
      <c r="P89" s="15"/>
      <c r="Q89" s="15" t="str">
        <f>IFERROR(VLOOKUP(Kühl_und_Kältemittel[[#This Row],[Thema_Bezeichung]],EFs_Kühlmittel[],5,FALSE),"")</f>
        <v/>
      </c>
      <c r="R89" s="15" t="str">
        <f>IFERROR(VLOOKUP(Kühl_und_Kältemittel[[#This Row],[Thema_Bezeichung]],EFs_Kühlmittel[],6,FALSE),"")</f>
        <v/>
      </c>
      <c r="S89" s="15" t="str">
        <f>IFERROR(VLOOKUP(Kühl_und_Kältemittel[[#This Row],[Thema_Bezeichung]],EFs_Kühlmittel[],7,FALSE),"")</f>
        <v/>
      </c>
      <c r="T89" s="15" t="str">
        <f>IFERROR(VLOOKUP(Kühl_und_Kältemittel[[#This Row],[Thema_Bezeichung]],EFs_Kühlmittel[],8,FALSE),"")</f>
        <v/>
      </c>
      <c r="U89" s="15" t="str">
        <f>IFERROR(VLOOKUP(Kühl_und_Kältemittel[[#This Row],[Thema_Bezeichung]],EFs_Kühlmittel[],9,FALSE),"")</f>
        <v/>
      </c>
      <c r="V89" s="15" t="str">
        <f>IFERROR(VLOOKUP(Kühl_und_Kältemittel[[#This Row],[Thema_Bezeichung]],EFs_Kühlmittel[],10,FALSE),"")</f>
        <v/>
      </c>
      <c r="W89" s="15" t="str">
        <f>IFERROR(VLOOKUP(Kühl_und_Kältemittel[[#This Row],[Thema_Bezeichung]],EFs_Kühlmittel[],11,FALSE),"")</f>
        <v/>
      </c>
      <c r="X89" s="15" t="str">
        <f>IFERROR(VLOOKUP(Kühl_und_Kältemittel[[#This Row],[Thema_Bezeichung]],EFs_Kühlmittel[],12,FALSE),"")</f>
        <v/>
      </c>
      <c r="Y89" s="15" t="str">
        <f>IFERROR(VLOOKUP(Kühl_und_Kältemittel[[#This Row],[Thema_Bezeichung]],EFs_Kühlmittel[],13,FALSE),"")</f>
        <v/>
      </c>
      <c r="Z89" s="15" t="str">
        <f>IFERROR(VLOOKUP(Kühl_und_Kältemittel[[#This Row],[Thema_Bezeichung]],EFs_Kühlmittel[],14,FALSE),"")</f>
        <v/>
      </c>
      <c r="AA89" s="15" t="str">
        <f>IFERROR(VLOOKUP(Kühl_und_Kältemittel[[#This Row],[Thema_Bezeichung]],EFs_Kühlmittel[],15,FALSE),"")</f>
        <v/>
      </c>
      <c r="AB89" s="15" t="str">
        <f>IFERROR(VLOOKUP(Kühl_und_Kältemittel[[#This Row],[Thema_Bezeichung]],EFs_Kühlmittel[],16,FALSE),"")</f>
        <v/>
      </c>
      <c r="AC89" s="15" t="str">
        <f>IFERROR(VLOOKUP(Kühl_und_Kältemittel[[#This Row],[Thema_Bezeichung]],EFs_Kühlmittel[],17,FALSE),"")</f>
        <v/>
      </c>
      <c r="AD89" s="15" t="str">
        <f>IFERROR(VLOOKUP(Kühl_und_Kältemittel[[#This Row],[Thema_Bezeichung]],EFs_Kühlmittel[],18,FALSE),"")</f>
        <v/>
      </c>
      <c r="AE89" s="15" t="str">
        <f>IFERROR(VLOOKUP(Kühl_und_Kältemittel[[#This Row],[Thema_Bezeichung]],EFs_Kühlmittel[],19,FALSE),"")</f>
        <v/>
      </c>
      <c r="AF89" s="15" t="str">
        <f>IFERROR(VLOOKUP(Kühl_und_Kältemittel[[#This Row],[Thema_Bezeichung]],EFs_Kühlmittel[],20,FALSE),"")</f>
        <v/>
      </c>
      <c r="AG89" s="15" t="str">
        <f>IFERROR(VLOOKUP(Kühl_und_Kältemittel[[#This Row],[Thema_Bezeichung]],EFs_Kühlmittel[],21,FALSE),"")</f>
        <v/>
      </c>
      <c r="AH89" s="15" t="str">
        <f>IFERROR(VLOOKUP(Kühl_und_Kältemittel[[#This Row],[Thema_Bezeichung]],EFs_Kühlmittel[],22,FALSE),"")</f>
        <v/>
      </c>
      <c r="AI89" s="15" t="str">
        <f>IFERROR(VLOOKUP(Kühl_und_Kältemittel[[#This Row],[Thema_Bezeichung]],EFs_Kühlmittel[],23,FALSE),"")</f>
        <v/>
      </c>
      <c r="AJ89" s="15" t="str">
        <f>IFERROR(VLOOKUP(Kühl_und_Kältemittel[[#This Row],[Thema_Bezeichung]],EFs_Kühlmittel[],24,FALSE),"")</f>
        <v/>
      </c>
      <c r="AK89" s="15" t="str">
        <f>IFERROR(Kühl_und_Kältemittel[[#This Row],[Wert 
(Zahl)]]*Kühl_und_Kältemittel[[#This Row],[EF Scope 1 CO2e
(kg CO2e/Einheit)]],"")</f>
        <v/>
      </c>
      <c r="AL89" s="15" t="str">
        <f>IFERROR(Kühl_und_Kältemittel[[#This Row],[Wert 
(Zahl)]]*Kühl_und_Kältemittel[[#This Row],[EF Scope 2 CO2e
(kg CO2e/Einheit)]],"")</f>
        <v/>
      </c>
      <c r="AM89" s="15" t="str">
        <f>IFERROR(Kühl_und_Kältemittel[[#This Row],[Wert 
(Zahl)]]*Kühl_und_Kältemittel[[#This Row],[EF Scope 3 CO2e
(kg CO2e/Einheit)]],"")</f>
        <v/>
      </c>
      <c r="AN89" s="15" t="str">
        <f>IFERROR(Kühl_und_Kältemittel[[#This Row],[Wert 
(Zahl)]]*Kühl_und_Kältemittel[[#This Row],[EF Scope 1 CO2 biogen
(kg CO2 /Einheit)]],"")</f>
        <v/>
      </c>
      <c r="AO89" s="15" t="str">
        <f>IFERROR(Kühl_und_Kältemittel[[#This Row],[Wert 
(Zahl)]]*Kühl_und_Kältemittel[[#This Row],[EF Scope 1 CO2
(kg CO2/Einheit)]],"")</f>
        <v/>
      </c>
      <c r="AP89" s="15" t="str">
        <f>IFERROR(Kühl_und_Kältemittel[[#This Row],[Wert 
(Zahl)]]*Kühl_und_Kältemittel[[#This Row],[EF Scope 1 CH4
(kg CH4/Einheit)]],"")</f>
        <v/>
      </c>
      <c r="AQ89" s="15" t="str">
        <f>IFERROR(Kühl_und_Kältemittel[[#This Row],[Wert 
(Zahl)]]*Kühl_und_Kältemittel[[#This Row],[EF Scope 1 N2O
(kg N2O/Einheit)]],"")</f>
        <v/>
      </c>
      <c r="AR89" s="15" t="str">
        <f>IFERROR(Kühl_und_Kältemittel[[#This Row],[Wert 
(Zahl)]]*Kühl_und_Kältemittel[[#This Row],[EF Scope 1 HFCs
(kg HFCs/Einheit)]],"")</f>
        <v/>
      </c>
      <c r="AS89" s="15" t="str">
        <f>IFERROR(Kühl_und_Kältemittel[[#This Row],[Wert 
(Zahl)]]*Kühl_und_Kältemittel[[#This Row],[EF Scope 1 PFCs
(kg PFCs/Einheit)]],"")</f>
        <v/>
      </c>
      <c r="AT89" s="15" t="str">
        <f>IFERROR(Kühl_und_Kältemittel[[#This Row],[Wert 
(Zahl)]]*Kühl_und_Kältemittel[[#This Row],[EF Scope 1 SF6
(kg SF6/Einheit)]],"")</f>
        <v/>
      </c>
      <c r="AU89" s="15" t="str">
        <f>IFERROR(Kühl_und_Kältemittel[[#This Row],[Wert 
(Zahl)]]*Kühl_und_Kältemittel[[#This Row],[EF Scope 1 NF3
(kg NF3/Einheit)]],"")</f>
        <v/>
      </c>
      <c r="AV89" s="15" t="str">
        <f>IFERROR(Kühl_und_Kältemittel[[#This Row],[Wert 
(Zahl)]]*Kühl_und_Kältemittel[[#This Row],[EF Scope 1 Nicht-Kyoto-Gase (kg Nicht-Kyoto-Gase/Einheit)]],"")</f>
        <v/>
      </c>
      <c r="AW89" s="15" t="str">
        <f>IFERROR(Kühl_und_Kältemittel[[#This Row],[Wert 
(Zahl)]]*Kühl_und_Kältemittel[[#This Row],[EF Scope 2 CO2
(kg CO2/Einheit)]],"")</f>
        <v/>
      </c>
      <c r="AX89" s="15" t="str">
        <f>IFERROR(Kühl_und_Kältemittel[[#This Row],[Wert 
(Zahl)]]*Kühl_und_Kältemittel[[#This Row],[EF Scope 2 CH4
(kg CH4/Einheit)]],"")</f>
        <v/>
      </c>
      <c r="AY89" s="15" t="str">
        <f>IFERROR(Kühl_und_Kältemittel[[#This Row],[Wert 
(Zahl)]]*Kühl_und_Kältemittel[[#This Row],[EF Scope 2 N2O
(kg N2O/Einheit)]],"")</f>
        <v/>
      </c>
      <c r="AZ89" s="15" t="str">
        <f>IFERROR(Kühl_und_Kältemittel[[#This Row],[Wert 
(Zahl)]]*Kühl_und_Kältemittel[[#This Row],[EF Scope 2 HFCs
(kg HFCs/Einheit)]],"")</f>
        <v/>
      </c>
      <c r="BA89" s="15" t="str">
        <f>IFERROR(Kühl_und_Kältemittel[[#This Row],[Wert 
(Zahl)]]*Kühl_und_Kältemittel[[#This Row],[EF Scope 2 PFCs
(kg PFCs/Einheit)]],"")</f>
        <v/>
      </c>
      <c r="BB89" s="15" t="str">
        <f>IFERROR(Kühl_und_Kältemittel[[#This Row],[Wert 
(Zahl)]]*Kühl_und_Kältemittel[[#This Row],[EF Scope 2 SF6
(kg SF6/Einheit)]],"")</f>
        <v/>
      </c>
      <c r="BC89" s="15" t="str">
        <f>IFERROR(Kühl_und_Kältemittel[[#This Row],[Wert 
(Zahl)]]*Kühl_und_Kältemittel[[#This Row],[EF Scope 2 NF3
(kg NF3/Einheit)]],"")</f>
        <v/>
      </c>
      <c r="BD89" s="15" t="str">
        <f>IFERROR(Kühl_und_Kältemittel[[#This Row],[Wert 
(Zahl)]]*Kühl_und_Kältemittel[[#This Row],[EF Scope 2 Nicht-Kyoto-Gase (kg Nicht-Kyoto-Gase/Einheit)]],"")</f>
        <v/>
      </c>
      <c r="BE89" s="10" t="str">
        <f>IF(ISBLANK(Kühl_und_Kältemittel[[#This Row],[Wert 
(Zahl)]]),"",IFERROR(Kühl_und_Kältemittel[[#This Row],[Scope 1 CO2 '[kg CO2']]]*IFERROR(VLOOKUP("CO2",GWP_100[],3,FALSE),0),0))</f>
        <v/>
      </c>
      <c r="BF89" s="10" t="str">
        <f>IF(ISBLANK(Kühl_und_Kältemittel[[#This Row],[Wert 
(Zahl)]]),"",IFERROR(Kühl_und_Kältemittel[[#This Row],[Scope 1 CH4 '[kg CH4']]]*IFERROR(VLOOKUP("CH4",GWP_100[],4,FALSE),0),0))</f>
        <v/>
      </c>
      <c r="BG89" s="10" t="str">
        <f>IF(ISBLANK(Kühl_und_Kältemittel[[#This Row],[Wert 
(Zahl)]]),"",IFERROR(Kühl_und_Kältemittel[[#This Row],[Scope 1 N2O '[kg N2O']]]*IFERROR(VLOOKUP("N2O",GWP_100[],5,FALSE),0),0))</f>
        <v/>
      </c>
      <c r="BH89" s="10" t="str">
        <f>IF(ISBLANK(Kühl_und_Kältemittel[[#This Row],[Wert 
(Zahl)]]),"",IFERROR(Kühl_und_Kältemittel[[#This Row],[Scope 1 HFCs '[kg HFCs']]]*IFERROR(VLOOKUP(Kühl_und_Kältemittel[[#This Row],[Emissionsquelle/Aktivität (Dropdown)]],GWP_100[],6,FALSE),0),0))</f>
        <v/>
      </c>
      <c r="BI89" s="10" t="str">
        <f>IF(ISBLANK(Kühl_und_Kältemittel[[#This Row],[Wert 
(Zahl)]]),"",IFERROR(Kühl_und_Kältemittel[[#This Row],[Scope 1 PFCs '[kg PFCs']]]*IFERROR(VLOOKUP(Kühl_und_Kältemittel[[#This Row],[Emissionsquelle/Aktivität (Dropdown)]],GWP_100[],7,FALSE),0),0))</f>
        <v/>
      </c>
      <c r="BJ89" s="10" t="str">
        <f>IF(ISBLANK(Kühl_und_Kältemittel[[#This Row],[Wert 
(Zahl)]]),"",IFERROR(Kühl_und_Kältemittel[[#This Row],[Scope 1 SF6 '[kg SF6']]]*IFERROR(VLOOKUP("SF6",GWP_100[],8,FALSE),0),0))</f>
        <v/>
      </c>
      <c r="BK89" s="10" t="str">
        <f>IF(ISBLANK(Kühl_und_Kältemittel[[#This Row],[Wert 
(Zahl)]]),"",IFERROR(Kühl_und_Kältemittel[[#This Row],[Scope 1 NF3 '[kg NF3']]]*IFERROR(VLOOKUP("NF3",GWP_100[],9,FALSE),0),0))</f>
        <v/>
      </c>
      <c r="BL89" s="10" t="str">
        <f>IF(ISBLANK(Kühl_und_Kältemittel[[#This Row],[Wert 
(Zahl)]]),"",IFERROR(Kühl_und_Kältemittel[[#This Row],[Scope 1 non-Kyoto '[kg non-Kyoto gas']]]*IFERROR(VLOOKUP(Kühl_und_Kältemittel[[#This Row],[Emissionsquelle/Aktivität (Dropdown)]],GWP_100[],10,FALSE),0),0))</f>
        <v/>
      </c>
      <c r="BM89" s="10" t="str">
        <f>IF(ISBLANK(Kühl_und_Kältemittel[[#This Row],[Wert 
(Zahl)]]),"",IFERROR(Kühl_und_Kältemittel[[#This Row],[Scope 2 CO2 '[kg CO2']]]*IFERROR(VLOOKUP("CO2",GWP_100[],3,FALSE),0),0))</f>
        <v/>
      </c>
      <c r="BN89" s="10" t="str">
        <f>IF(ISBLANK(Kühl_und_Kältemittel[[#This Row],[Wert 
(Zahl)]]),"",IFERROR(Kühl_und_Kältemittel[[#This Row],[Scope 2 CH4 '[kg CH4']]]*IFERROR(VLOOKUP("CH4",GWP_100[],4,FALSE),0),0))</f>
        <v/>
      </c>
      <c r="BO89" s="10" t="str">
        <f>IF(ISBLANK(Kühl_und_Kältemittel[[#This Row],[Wert 
(Zahl)]]),"",IFERROR(Kühl_und_Kältemittel[[#This Row],[Scope 2 N2O '[kg N2O']]]*IFERROR(VLOOKUP("N2O",GWP_100[],5,FALSE),0),0))</f>
        <v/>
      </c>
      <c r="BP89" s="10" t="str">
        <f>IF(ISBLANK(Kühl_und_Kältemittel[[#This Row],[Wert 
(Zahl)]]),"",IFERROR(Kühl_und_Kältemittel[[#This Row],[Scope 2 HFCs '[kg HFCs']]]*IFERROR(VLOOKUP(Kühl_und_Kältemittel[[#This Row],[Emissionsquelle/Aktivität (Dropdown)]],GWP_100[],6,FALSE),0),0))</f>
        <v/>
      </c>
      <c r="BQ89" s="10" t="str">
        <f>IF(ISBLANK(Kühl_und_Kältemittel[[#This Row],[Wert 
(Zahl)]]),"",IFERROR(Kühl_und_Kältemittel[[#This Row],[Scope 2 PFCs '[kg PFCs']]]*IFERROR(VLOOKUP(Kühl_und_Kältemittel[[#This Row],[Emissionsquelle/Aktivität (Dropdown)]],GWP_100[],7,FALSE),0),0))</f>
        <v/>
      </c>
      <c r="BR89" s="10" t="str">
        <f>IF(ISBLANK(Kühl_und_Kältemittel[[#This Row],[Wert 
(Zahl)]]),"",IFERROR(Kühl_und_Kältemittel[[#This Row],[Scope 2 SF6 '[kg SF6']]]*IFERROR(VLOOKUP("SF6",GWP_100[],8,FALSE),0),0))</f>
        <v/>
      </c>
      <c r="BS89" s="10" t="str">
        <f>IF(ISBLANK(Kühl_und_Kältemittel[[#This Row],[Wert 
(Zahl)]]),"",IFERROR(Kühl_und_Kältemittel[[#This Row],[Scope 2 NF3 '[kg NF3']]]*IFERROR(VLOOKUP("NF3",GWP_100[],9,FALSE),0),0))</f>
        <v/>
      </c>
      <c r="BT89" s="10" t="str">
        <f>IF(ISBLANK(Kühl_und_Kältemittel[[#This Row],[Wert 
(Zahl)]]),"",IFERROR(Kühl_und_Kältemittel[[#This Row],[Scope 2 non-Kyoto '[kg non-Kyoto gas']]]*IFERROR(VLOOKUP(Kühl_und_Kältemittel[[#This Row],[Emissionsquelle/Aktivität (Dropdown)]],GWP_100[],10,FALSE),0),0))</f>
        <v/>
      </c>
    </row>
    <row r="90" spans="2:92" s="89" customFormat="1" x14ac:dyDescent="0.35">
      <c r="B90" s="604"/>
      <c r="C90" s="10" t="str">
        <f t="shared" si="2"/>
        <v>Kühl_und_Kältemittel</v>
      </c>
      <c r="D90" s="90"/>
      <c r="E90" s="90"/>
      <c r="F90" s="288"/>
      <c r="G90" s="10" t="str">
        <f>IFERROR(VLOOKUP(Kühl_und_Kältemittel[[#This Row],[Thema_Bezeichung]],EFs_Kühlmittel[],4,FALSE),"")</f>
        <v/>
      </c>
      <c r="H90" s="90"/>
      <c r="I90" s="90"/>
      <c r="J90" s="90"/>
      <c r="K90" s="284" t="str">
        <f>IF(ISBLANK(Kühl_und_Kältemittel[[#This Row],[Wert 
(Zahl)]]),"", SUM(Kühl_und_Kältemittel[[#This Row],[Scope 1 CO2e '[kg CO2e']]:[Scope 3 CO2e '[kg CO2e']]]))</f>
        <v/>
      </c>
      <c r="L90" s="158"/>
      <c r="M90" s="408"/>
      <c r="N90" s="408"/>
      <c r="O90" s="15" t="str">
        <f>IF(ISBLANK(Kühl_und_Kältemittel[[#This Row],[Emissionsquelle/Aktivität (Dropdown)]]),"",CONCATENATE(Kühl_und_Kältemittel[[#This Row],[Sektor_Thema]]," - ",Kühl_und_Kältemittel[[#This Row],[Emissionsquelle/Aktivität (Dropdown)]]))</f>
        <v/>
      </c>
      <c r="P90" s="15"/>
      <c r="Q90" s="15" t="str">
        <f>IFERROR(VLOOKUP(Kühl_und_Kältemittel[[#This Row],[Thema_Bezeichung]],EFs_Kühlmittel[],5,FALSE),"")</f>
        <v/>
      </c>
      <c r="R90" s="15" t="str">
        <f>IFERROR(VLOOKUP(Kühl_und_Kältemittel[[#This Row],[Thema_Bezeichung]],EFs_Kühlmittel[],6,FALSE),"")</f>
        <v/>
      </c>
      <c r="S90" s="15" t="str">
        <f>IFERROR(VLOOKUP(Kühl_und_Kältemittel[[#This Row],[Thema_Bezeichung]],EFs_Kühlmittel[],7,FALSE),"")</f>
        <v/>
      </c>
      <c r="T90" s="15" t="str">
        <f>IFERROR(VLOOKUP(Kühl_und_Kältemittel[[#This Row],[Thema_Bezeichung]],EFs_Kühlmittel[],8,FALSE),"")</f>
        <v/>
      </c>
      <c r="U90" s="15" t="str">
        <f>IFERROR(VLOOKUP(Kühl_und_Kältemittel[[#This Row],[Thema_Bezeichung]],EFs_Kühlmittel[],9,FALSE),"")</f>
        <v/>
      </c>
      <c r="V90" s="15" t="str">
        <f>IFERROR(VLOOKUP(Kühl_und_Kältemittel[[#This Row],[Thema_Bezeichung]],EFs_Kühlmittel[],10,FALSE),"")</f>
        <v/>
      </c>
      <c r="W90" s="15" t="str">
        <f>IFERROR(VLOOKUP(Kühl_und_Kältemittel[[#This Row],[Thema_Bezeichung]],EFs_Kühlmittel[],11,FALSE),"")</f>
        <v/>
      </c>
      <c r="X90" s="15" t="str">
        <f>IFERROR(VLOOKUP(Kühl_und_Kältemittel[[#This Row],[Thema_Bezeichung]],EFs_Kühlmittel[],12,FALSE),"")</f>
        <v/>
      </c>
      <c r="Y90" s="15" t="str">
        <f>IFERROR(VLOOKUP(Kühl_und_Kältemittel[[#This Row],[Thema_Bezeichung]],EFs_Kühlmittel[],13,FALSE),"")</f>
        <v/>
      </c>
      <c r="Z90" s="15" t="str">
        <f>IFERROR(VLOOKUP(Kühl_und_Kältemittel[[#This Row],[Thema_Bezeichung]],EFs_Kühlmittel[],14,FALSE),"")</f>
        <v/>
      </c>
      <c r="AA90" s="15" t="str">
        <f>IFERROR(VLOOKUP(Kühl_und_Kältemittel[[#This Row],[Thema_Bezeichung]],EFs_Kühlmittel[],15,FALSE),"")</f>
        <v/>
      </c>
      <c r="AB90" s="15" t="str">
        <f>IFERROR(VLOOKUP(Kühl_und_Kältemittel[[#This Row],[Thema_Bezeichung]],EFs_Kühlmittel[],16,FALSE),"")</f>
        <v/>
      </c>
      <c r="AC90" s="15" t="str">
        <f>IFERROR(VLOOKUP(Kühl_und_Kältemittel[[#This Row],[Thema_Bezeichung]],EFs_Kühlmittel[],17,FALSE),"")</f>
        <v/>
      </c>
      <c r="AD90" s="15" t="str">
        <f>IFERROR(VLOOKUP(Kühl_und_Kältemittel[[#This Row],[Thema_Bezeichung]],EFs_Kühlmittel[],18,FALSE),"")</f>
        <v/>
      </c>
      <c r="AE90" s="15" t="str">
        <f>IFERROR(VLOOKUP(Kühl_und_Kältemittel[[#This Row],[Thema_Bezeichung]],EFs_Kühlmittel[],19,FALSE),"")</f>
        <v/>
      </c>
      <c r="AF90" s="15" t="str">
        <f>IFERROR(VLOOKUP(Kühl_und_Kältemittel[[#This Row],[Thema_Bezeichung]],EFs_Kühlmittel[],20,FALSE),"")</f>
        <v/>
      </c>
      <c r="AG90" s="15" t="str">
        <f>IFERROR(VLOOKUP(Kühl_und_Kältemittel[[#This Row],[Thema_Bezeichung]],EFs_Kühlmittel[],21,FALSE),"")</f>
        <v/>
      </c>
      <c r="AH90" s="15" t="str">
        <f>IFERROR(VLOOKUP(Kühl_und_Kältemittel[[#This Row],[Thema_Bezeichung]],EFs_Kühlmittel[],22,FALSE),"")</f>
        <v/>
      </c>
      <c r="AI90" s="15" t="str">
        <f>IFERROR(VLOOKUP(Kühl_und_Kältemittel[[#This Row],[Thema_Bezeichung]],EFs_Kühlmittel[],23,FALSE),"")</f>
        <v/>
      </c>
      <c r="AJ90" s="15" t="str">
        <f>IFERROR(VLOOKUP(Kühl_und_Kältemittel[[#This Row],[Thema_Bezeichung]],EFs_Kühlmittel[],24,FALSE),"")</f>
        <v/>
      </c>
      <c r="AK90" s="15" t="str">
        <f>IFERROR(Kühl_und_Kältemittel[[#This Row],[Wert 
(Zahl)]]*Kühl_und_Kältemittel[[#This Row],[EF Scope 1 CO2e
(kg CO2e/Einheit)]],"")</f>
        <v/>
      </c>
      <c r="AL90" s="15" t="str">
        <f>IFERROR(Kühl_und_Kältemittel[[#This Row],[Wert 
(Zahl)]]*Kühl_und_Kältemittel[[#This Row],[EF Scope 2 CO2e
(kg CO2e/Einheit)]],"")</f>
        <v/>
      </c>
      <c r="AM90" s="15" t="str">
        <f>IFERROR(Kühl_und_Kältemittel[[#This Row],[Wert 
(Zahl)]]*Kühl_und_Kältemittel[[#This Row],[EF Scope 3 CO2e
(kg CO2e/Einheit)]],"")</f>
        <v/>
      </c>
      <c r="AN90" s="15" t="str">
        <f>IFERROR(Kühl_und_Kältemittel[[#This Row],[Wert 
(Zahl)]]*Kühl_und_Kältemittel[[#This Row],[EF Scope 1 CO2 biogen
(kg CO2 /Einheit)]],"")</f>
        <v/>
      </c>
      <c r="AO90" s="15" t="str">
        <f>IFERROR(Kühl_und_Kältemittel[[#This Row],[Wert 
(Zahl)]]*Kühl_und_Kältemittel[[#This Row],[EF Scope 1 CO2
(kg CO2/Einheit)]],"")</f>
        <v/>
      </c>
      <c r="AP90" s="15" t="str">
        <f>IFERROR(Kühl_und_Kältemittel[[#This Row],[Wert 
(Zahl)]]*Kühl_und_Kältemittel[[#This Row],[EF Scope 1 CH4
(kg CH4/Einheit)]],"")</f>
        <v/>
      </c>
      <c r="AQ90" s="15" t="str">
        <f>IFERROR(Kühl_und_Kältemittel[[#This Row],[Wert 
(Zahl)]]*Kühl_und_Kältemittel[[#This Row],[EF Scope 1 N2O
(kg N2O/Einheit)]],"")</f>
        <v/>
      </c>
      <c r="AR90" s="15" t="str">
        <f>IFERROR(Kühl_und_Kältemittel[[#This Row],[Wert 
(Zahl)]]*Kühl_und_Kältemittel[[#This Row],[EF Scope 1 HFCs
(kg HFCs/Einheit)]],"")</f>
        <v/>
      </c>
      <c r="AS90" s="15" t="str">
        <f>IFERROR(Kühl_und_Kältemittel[[#This Row],[Wert 
(Zahl)]]*Kühl_und_Kältemittel[[#This Row],[EF Scope 1 PFCs
(kg PFCs/Einheit)]],"")</f>
        <v/>
      </c>
      <c r="AT90" s="15" t="str">
        <f>IFERROR(Kühl_und_Kältemittel[[#This Row],[Wert 
(Zahl)]]*Kühl_und_Kältemittel[[#This Row],[EF Scope 1 SF6
(kg SF6/Einheit)]],"")</f>
        <v/>
      </c>
      <c r="AU90" s="15" t="str">
        <f>IFERROR(Kühl_und_Kältemittel[[#This Row],[Wert 
(Zahl)]]*Kühl_und_Kältemittel[[#This Row],[EF Scope 1 NF3
(kg NF3/Einheit)]],"")</f>
        <v/>
      </c>
      <c r="AV90" s="15" t="str">
        <f>IFERROR(Kühl_und_Kältemittel[[#This Row],[Wert 
(Zahl)]]*Kühl_und_Kältemittel[[#This Row],[EF Scope 1 Nicht-Kyoto-Gase (kg Nicht-Kyoto-Gase/Einheit)]],"")</f>
        <v/>
      </c>
      <c r="AW90" s="15" t="str">
        <f>IFERROR(Kühl_und_Kältemittel[[#This Row],[Wert 
(Zahl)]]*Kühl_und_Kältemittel[[#This Row],[EF Scope 2 CO2
(kg CO2/Einheit)]],"")</f>
        <v/>
      </c>
      <c r="AX90" s="15" t="str">
        <f>IFERROR(Kühl_und_Kältemittel[[#This Row],[Wert 
(Zahl)]]*Kühl_und_Kältemittel[[#This Row],[EF Scope 2 CH4
(kg CH4/Einheit)]],"")</f>
        <v/>
      </c>
      <c r="AY90" s="15" t="str">
        <f>IFERROR(Kühl_und_Kältemittel[[#This Row],[Wert 
(Zahl)]]*Kühl_und_Kältemittel[[#This Row],[EF Scope 2 N2O
(kg N2O/Einheit)]],"")</f>
        <v/>
      </c>
      <c r="AZ90" s="15" t="str">
        <f>IFERROR(Kühl_und_Kältemittel[[#This Row],[Wert 
(Zahl)]]*Kühl_und_Kältemittel[[#This Row],[EF Scope 2 HFCs
(kg HFCs/Einheit)]],"")</f>
        <v/>
      </c>
      <c r="BA90" s="15" t="str">
        <f>IFERROR(Kühl_und_Kältemittel[[#This Row],[Wert 
(Zahl)]]*Kühl_und_Kältemittel[[#This Row],[EF Scope 2 PFCs
(kg PFCs/Einheit)]],"")</f>
        <v/>
      </c>
      <c r="BB90" s="15" t="str">
        <f>IFERROR(Kühl_und_Kältemittel[[#This Row],[Wert 
(Zahl)]]*Kühl_und_Kältemittel[[#This Row],[EF Scope 2 SF6
(kg SF6/Einheit)]],"")</f>
        <v/>
      </c>
      <c r="BC90" s="15" t="str">
        <f>IFERROR(Kühl_und_Kältemittel[[#This Row],[Wert 
(Zahl)]]*Kühl_und_Kältemittel[[#This Row],[EF Scope 2 NF3
(kg NF3/Einheit)]],"")</f>
        <v/>
      </c>
      <c r="BD90" s="15" t="str">
        <f>IFERROR(Kühl_und_Kältemittel[[#This Row],[Wert 
(Zahl)]]*Kühl_und_Kältemittel[[#This Row],[EF Scope 2 Nicht-Kyoto-Gase (kg Nicht-Kyoto-Gase/Einheit)]],"")</f>
        <v/>
      </c>
      <c r="BE90" s="10" t="str">
        <f>IF(ISBLANK(Kühl_und_Kältemittel[[#This Row],[Wert 
(Zahl)]]),"",IFERROR(Kühl_und_Kältemittel[[#This Row],[Scope 1 CO2 '[kg CO2']]]*IFERROR(VLOOKUP("CO2",GWP_100[],3,FALSE),0),0))</f>
        <v/>
      </c>
      <c r="BF90" s="10" t="str">
        <f>IF(ISBLANK(Kühl_und_Kältemittel[[#This Row],[Wert 
(Zahl)]]),"",IFERROR(Kühl_und_Kältemittel[[#This Row],[Scope 1 CH4 '[kg CH4']]]*IFERROR(VLOOKUP("CH4",GWP_100[],4,FALSE),0),0))</f>
        <v/>
      </c>
      <c r="BG90" s="10" t="str">
        <f>IF(ISBLANK(Kühl_und_Kältemittel[[#This Row],[Wert 
(Zahl)]]),"",IFERROR(Kühl_und_Kältemittel[[#This Row],[Scope 1 N2O '[kg N2O']]]*IFERROR(VLOOKUP("N2O",GWP_100[],5,FALSE),0),0))</f>
        <v/>
      </c>
      <c r="BH90" s="10" t="str">
        <f>IF(ISBLANK(Kühl_und_Kältemittel[[#This Row],[Wert 
(Zahl)]]),"",IFERROR(Kühl_und_Kältemittel[[#This Row],[Scope 1 HFCs '[kg HFCs']]]*IFERROR(VLOOKUP(Kühl_und_Kältemittel[[#This Row],[Emissionsquelle/Aktivität (Dropdown)]],GWP_100[],6,FALSE),0),0))</f>
        <v/>
      </c>
      <c r="BI90" s="10" t="str">
        <f>IF(ISBLANK(Kühl_und_Kältemittel[[#This Row],[Wert 
(Zahl)]]),"",IFERROR(Kühl_und_Kältemittel[[#This Row],[Scope 1 PFCs '[kg PFCs']]]*IFERROR(VLOOKUP(Kühl_und_Kältemittel[[#This Row],[Emissionsquelle/Aktivität (Dropdown)]],GWP_100[],7,FALSE),0),0))</f>
        <v/>
      </c>
      <c r="BJ90" s="10" t="str">
        <f>IF(ISBLANK(Kühl_und_Kältemittel[[#This Row],[Wert 
(Zahl)]]),"",IFERROR(Kühl_und_Kältemittel[[#This Row],[Scope 1 SF6 '[kg SF6']]]*IFERROR(VLOOKUP("SF6",GWP_100[],8,FALSE),0),0))</f>
        <v/>
      </c>
      <c r="BK90" s="10" t="str">
        <f>IF(ISBLANK(Kühl_und_Kältemittel[[#This Row],[Wert 
(Zahl)]]),"",IFERROR(Kühl_und_Kältemittel[[#This Row],[Scope 1 NF3 '[kg NF3']]]*IFERROR(VLOOKUP("NF3",GWP_100[],9,FALSE),0),0))</f>
        <v/>
      </c>
      <c r="BL90" s="10" t="str">
        <f>IF(ISBLANK(Kühl_und_Kältemittel[[#This Row],[Wert 
(Zahl)]]),"",IFERROR(Kühl_und_Kältemittel[[#This Row],[Scope 1 non-Kyoto '[kg non-Kyoto gas']]]*IFERROR(VLOOKUP(Kühl_und_Kältemittel[[#This Row],[Emissionsquelle/Aktivität (Dropdown)]],GWP_100[],10,FALSE),0),0))</f>
        <v/>
      </c>
      <c r="BM90" s="10" t="str">
        <f>IF(ISBLANK(Kühl_und_Kältemittel[[#This Row],[Wert 
(Zahl)]]),"",IFERROR(Kühl_und_Kältemittel[[#This Row],[Scope 2 CO2 '[kg CO2']]]*IFERROR(VLOOKUP("CO2",GWP_100[],3,FALSE),0),0))</f>
        <v/>
      </c>
      <c r="BN90" s="10" t="str">
        <f>IF(ISBLANK(Kühl_und_Kältemittel[[#This Row],[Wert 
(Zahl)]]),"",IFERROR(Kühl_und_Kältemittel[[#This Row],[Scope 2 CH4 '[kg CH4']]]*IFERROR(VLOOKUP("CH4",GWP_100[],4,FALSE),0),0))</f>
        <v/>
      </c>
      <c r="BO90" s="10" t="str">
        <f>IF(ISBLANK(Kühl_und_Kältemittel[[#This Row],[Wert 
(Zahl)]]),"",IFERROR(Kühl_und_Kältemittel[[#This Row],[Scope 2 N2O '[kg N2O']]]*IFERROR(VLOOKUP("N2O",GWP_100[],5,FALSE),0),0))</f>
        <v/>
      </c>
      <c r="BP90" s="10" t="str">
        <f>IF(ISBLANK(Kühl_und_Kältemittel[[#This Row],[Wert 
(Zahl)]]),"",IFERROR(Kühl_und_Kältemittel[[#This Row],[Scope 2 HFCs '[kg HFCs']]]*IFERROR(VLOOKUP(Kühl_und_Kältemittel[[#This Row],[Emissionsquelle/Aktivität (Dropdown)]],GWP_100[],6,FALSE),0),0))</f>
        <v/>
      </c>
      <c r="BQ90" s="10" t="str">
        <f>IF(ISBLANK(Kühl_und_Kältemittel[[#This Row],[Wert 
(Zahl)]]),"",IFERROR(Kühl_und_Kältemittel[[#This Row],[Scope 2 PFCs '[kg PFCs']]]*IFERROR(VLOOKUP(Kühl_und_Kältemittel[[#This Row],[Emissionsquelle/Aktivität (Dropdown)]],GWP_100[],7,FALSE),0),0))</f>
        <v/>
      </c>
      <c r="BR90" s="10" t="str">
        <f>IF(ISBLANK(Kühl_und_Kältemittel[[#This Row],[Wert 
(Zahl)]]),"",IFERROR(Kühl_und_Kältemittel[[#This Row],[Scope 2 SF6 '[kg SF6']]]*IFERROR(VLOOKUP("SF6",GWP_100[],8,FALSE),0),0))</f>
        <v/>
      </c>
      <c r="BS90" s="10" t="str">
        <f>IF(ISBLANK(Kühl_und_Kältemittel[[#This Row],[Wert 
(Zahl)]]),"",IFERROR(Kühl_und_Kältemittel[[#This Row],[Scope 2 NF3 '[kg NF3']]]*IFERROR(VLOOKUP("NF3",GWP_100[],9,FALSE),0),0))</f>
        <v/>
      </c>
      <c r="BT90" s="10" t="str">
        <f>IF(ISBLANK(Kühl_und_Kältemittel[[#This Row],[Wert 
(Zahl)]]),"",IFERROR(Kühl_und_Kältemittel[[#This Row],[Scope 2 non-Kyoto '[kg non-Kyoto gas']]]*IFERROR(VLOOKUP(Kühl_und_Kältemittel[[#This Row],[Emissionsquelle/Aktivität (Dropdown)]],GWP_100[],10,FALSE),0),0))</f>
        <v/>
      </c>
    </row>
    <row r="91" spans="2:92" s="89" customFormat="1" x14ac:dyDescent="0.35">
      <c r="B91" s="604"/>
      <c r="C91" s="10" t="str">
        <f t="shared" si="2"/>
        <v>Kühl_und_Kältemittel</v>
      </c>
      <c r="D91" s="90"/>
      <c r="E91" s="90"/>
      <c r="F91" s="288"/>
      <c r="G91" s="10" t="str">
        <f>IFERROR(VLOOKUP(Kühl_und_Kältemittel[[#This Row],[Thema_Bezeichung]],EFs_Kühlmittel[],4,FALSE),"")</f>
        <v/>
      </c>
      <c r="H91" s="90"/>
      <c r="I91" s="90"/>
      <c r="J91" s="90"/>
      <c r="K91" s="284" t="str">
        <f>IF(ISBLANK(Kühl_und_Kältemittel[[#This Row],[Wert 
(Zahl)]]),"", SUM(Kühl_und_Kältemittel[[#This Row],[Scope 1 CO2e '[kg CO2e']]:[Scope 3 CO2e '[kg CO2e']]]))</f>
        <v/>
      </c>
      <c r="L91" s="158"/>
      <c r="M91" s="408"/>
      <c r="N91" s="408"/>
      <c r="O91" s="15" t="str">
        <f>IF(ISBLANK(Kühl_und_Kältemittel[[#This Row],[Emissionsquelle/Aktivität (Dropdown)]]),"",CONCATENATE(Kühl_und_Kältemittel[[#This Row],[Sektor_Thema]]," - ",Kühl_und_Kältemittel[[#This Row],[Emissionsquelle/Aktivität (Dropdown)]]))</f>
        <v/>
      </c>
      <c r="P91" s="15"/>
      <c r="Q91" s="15" t="str">
        <f>IFERROR(VLOOKUP(Kühl_und_Kältemittel[[#This Row],[Thema_Bezeichung]],EFs_Kühlmittel[],5,FALSE),"")</f>
        <v/>
      </c>
      <c r="R91" s="15" t="str">
        <f>IFERROR(VLOOKUP(Kühl_und_Kältemittel[[#This Row],[Thema_Bezeichung]],EFs_Kühlmittel[],6,FALSE),"")</f>
        <v/>
      </c>
      <c r="S91" s="15" t="str">
        <f>IFERROR(VLOOKUP(Kühl_und_Kältemittel[[#This Row],[Thema_Bezeichung]],EFs_Kühlmittel[],7,FALSE),"")</f>
        <v/>
      </c>
      <c r="T91" s="15" t="str">
        <f>IFERROR(VLOOKUP(Kühl_und_Kältemittel[[#This Row],[Thema_Bezeichung]],EFs_Kühlmittel[],8,FALSE),"")</f>
        <v/>
      </c>
      <c r="U91" s="15" t="str">
        <f>IFERROR(VLOOKUP(Kühl_und_Kältemittel[[#This Row],[Thema_Bezeichung]],EFs_Kühlmittel[],9,FALSE),"")</f>
        <v/>
      </c>
      <c r="V91" s="15" t="str">
        <f>IFERROR(VLOOKUP(Kühl_und_Kältemittel[[#This Row],[Thema_Bezeichung]],EFs_Kühlmittel[],10,FALSE),"")</f>
        <v/>
      </c>
      <c r="W91" s="15" t="str">
        <f>IFERROR(VLOOKUP(Kühl_und_Kältemittel[[#This Row],[Thema_Bezeichung]],EFs_Kühlmittel[],11,FALSE),"")</f>
        <v/>
      </c>
      <c r="X91" s="15" t="str">
        <f>IFERROR(VLOOKUP(Kühl_und_Kältemittel[[#This Row],[Thema_Bezeichung]],EFs_Kühlmittel[],12,FALSE),"")</f>
        <v/>
      </c>
      <c r="Y91" s="15" t="str">
        <f>IFERROR(VLOOKUP(Kühl_und_Kältemittel[[#This Row],[Thema_Bezeichung]],EFs_Kühlmittel[],13,FALSE),"")</f>
        <v/>
      </c>
      <c r="Z91" s="15" t="str">
        <f>IFERROR(VLOOKUP(Kühl_und_Kältemittel[[#This Row],[Thema_Bezeichung]],EFs_Kühlmittel[],14,FALSE),"")</f>
        <v/>
      </c>
      <c r="AA91" s="15" t="str">
        <f>IFERROR(VLOOKUP(Kühl_und_Kältemittel[[#This Row],[Thema_Bezeichung]],EFs_Kühlmittel[],15,FALSE),"")</f>
        <v/>
      </c>
      <c r="AB91" s="15" t="str">
        <f>IFERROR(VLOOKUP(Kühl_und_Kältemittel[[#This Row],[Thema_Bezeichung]],EFs_Kühlmittel[],16,FALSE),"")</f>
        <v/>
      </c>
      <c r="AC91" s="15" t="str">
        <f>IFERROR(VLOOKUP(Kühl_und_Kältemittel[[#This Row],[Thema_Bezeichung]],EFs_Kühlmittel[],17,FALSE),"")</f>
        <v/>
      </c>
      <c r="AD91" s="15" t="str">
        <f>IFERROR(VLOOKUP(Kühl_und_Kältemittel[[#This Row],[Thema_Bezeichung]],EFs_Kühlmittel[],18,FALSE),"")</f>
        <v/>
      </c>
      <c r="AE91" s="15" t="str">
        <f>IFERROR(VLOOKUP(Kühl_und_Kältemittel[[#This Row],[Thema_Bezeichung]],EFs_Kühlmittel[],19,FALSE),"")</f>
        <v/>
      </c>
      <c r="AF91" s="15" t="str">
        <f>IFERROR(VLOOKUP(Kühl_und_Kältemittel[[#This Row],[Thema_Bezeichung]],EFs_Kühlmittel[],20,FALSE),"")</f>
        <v/>
      </c>
      <c r="AG91" s="15" t="str">
        <f>IFERROR(VLOOKUP(Kühl_und_Kältemittel[[#This Row],[Thema_Bezeichung]],EFs_Kühlmittel[],21,FALSE),"")</f>
        <v/>
      </c>
      <c r="AH91" s="15" t="str">
        <f>IFERROR(VLOOKUP(Kühl_und_Kältemittel[[#This Row],[Thema_Bezeichung]],EFs_Kühlmittel[],22,FALSE),"")</f>
        <v/>
      </c>
      <c r="AI91" s="15" t="str">
        <f>IFERROR(VLOOKUP(Kühl_und_Kältemittel[[#This Row],[Thema_Bezeichung]],EFs_Kühlmittel[],23,FALSE),"")</f>
        <v/>
      </c>
      <c r="AJ91" s="15" t="str">
        <f>IFERROR(VLOOKUP(Kühl_und_Kältemittel[[#This Row],[Thema_Bezeichung]],EFs_Kühlmittel[],24,FALSE),"")</f>
        <v/>
      </c>
      <c r="AK91" s="15" t="str">
        <f>IFERROR(Kühl_und_Kältemittel[[#This Row],[Wert 
(Zahl)]]*Kühl_und_Kältemittel[[#This Row],[EF Scope 1 CO2e
(kg CO2e/Einheit)]],"")</f>
        <v/>
      </c>
      <c r="AL91" s="15" t="str">
        <f>IFERROR(Kühl_und_Kältemittel[[#This Row],[Wert 
(Zahl)]]*Kühl_und_Kältemittel[[#This Row],[EF Scope 2 CO2e
(kg CO2e/Einheit)]],"")</f>
        <v/>
      </c>
      <c r="AM91" s="15" t="str">
        <f>IFERROR(Kühl_und_Kältemittel[[#This Row],[Wert 
(Zahl)]]*Kühl_und_Kältemittel[[#This Row],[EF Scope 3 CO2e
(kg CO2e/Einheit)]],"")</f>
        <v/>
      </c>
      <c r="AN91" s="15" t="str">
        <f>IFERROR(Kühl_und_Kältemittel[[#This Row],[Wert 
(Zahl)]]*Kühl_und_Kältemittel[[#This Row],[EF Scope 1 CO2 biogen
(kg CO2 /Einheit)]],"")</f>
        <v/>
      </c>
      <c r="AO91" s="15" t="str">
        <f>IFERROR(Kühl_und_Kältemittel[[#This Row],[Wert 
(Zahl)]]*Kühl_und_Kältemittel[[#This Row],[EF Scope 1 CO2
(kg CO2/Einheit)]],"")</f>
        <v/>
      </c>
      <c r="AP91" s="15" t="str">
        <f>IFERROR(Kühl_und_Kältemittel[[#This Row],[Wert 
(Zahl)]]*Kühl_und_Kältemittel[[#This Row],[EF Scope 1 CH4
(kg CH4/Einheit)]],"")</f>
        <v/>
      </c>
      <c r="AQ91" s="15" t="str">
        <f>IFERROR(Kühl_und_Kältemittel[[#This Row],[Wert 
(Zahl)]]*Kühl_und_Kältemittel[[#This Row],[EF Scope 1 N2O
(kg N2O/Einheit)]],"")</f>
        <v/>
      </c>
      <c r="AR91" s="15" t="str">
        <f>IFERROR(Kühl_und_Kältemittel[[#This Row],[Wert 
(Zahl)]]*Kühl_und_Kältemittel[[#This Row],[EF Scope 1 HFCs
(kg HFCs/Einheit)]],"")</f>
        <v/>
      </c>
      <c r="AS91" s="15" t="str">
        <f>IFERROR(Kühl_und_Kältemittel[[#This Row],[Wert 
(Zahl)]]*Kühl_und_Kältemittel[[#This Row],[EF Scope 1 PFCs
(kg PFCs/Einheit)]],"")</f>
        <v/>
      </c>
      <c r="AT91" s="15" t="str">
        <f>IFERROR(Kühl_und_Kältemittel[[#This Row],[Wert 
(Zahl)]]*Kühl_und_Kältemittel[[#This Row],[EF Scope 1 SF6
(kg SF6/Einheit)]],"")</f>
        <v/>
      </c>
      <c r="AU91" s="15" t="str">
        <f>IFERROR(Kühl_und_Kältemittel[[#This Row],[Wert 
(Zahl)]]*Kühl_und_Kältemittel[[#This Row],[EF Scope 1 NF3
(kg NF3/Einheit)]],"")</f>
        <v/>
      </c>
      <c r="AV91" s="15" t="str">
        <f>IFERROR(Kühl_und_Kältemittel[[#This Row],[Wert 
(Zahl)]]*Kühl_und_Kältemittel[[#This Row],[EF Scope 1 Nicht-Kyoto-Gase (kg Nicht-Kyoto-Gase/Einheit)]],"")</f>
        <v/>
      </c>
      <c r="AW91" s="15" t="str">
        <f>IFERROR(Kühl_und_Kältemittel[[#This Row],[Wert 
(Zahl)]]*Kühl_und_Kältemittel[[#This Row],[EF Scope 2 CO2
(kg CO2/Einheit)]],"")</f>
        <v/>
      </c>
      <c r="AX91" s="15" t="str">
        <f>IFERROR(Kühl_und_Kältemittel[[#This Row],[Wert 
(Zahl)]]*Kühl_und_Kältemittel[[#This Row],[EF Scope 2 CH4
(kg CH4/Einheit)]],"")</f>
        <v/>
      </c>
      <c r="AY91" s="15" t="str">
        <f>IFERROR(Kühl_und_Kältemittel[[#This Row],[Wert 
(Zahl)]]*Kühl_und_Kältemittel[[#This Row],[EF Scope 2 N2O
(kg N2O/Einheit)]],"")</f>
        <v/>
      </c>
      <c r="AZ91" s="15" t="str">
        <f>IFERROR(Kühl_und_Kältemittel[[#This Row],[Wert 
(Zahl)]]*Kühl_und_Kältemittel[[#This Row],[EF Scope 2 HFCs
(kg HFCs/Einheit)]],"")</f>
        <v/>
      </c>
      <c r="BA91" s="15" t="str">
        <f>IFERROR(Kühl_und_Kältemittel[[#This Row],[Wert 
(Zahl)]]*Kühl_und_Kältemittel[[#This Row],[EF Scope 2 PFCs
(kg PFCs/Einheit)]],"")</f>
        <v/>
      </c>
      <c r="BB91" s="15" t="str">
        <f>IFERROR(Kühl_und_Kältemittel[[#This Row],[Wert 
(Zahl)]]*Kühl_und_Kältemittel[[#This Row],[EF Scope 2 SF6
(kg SF6/Einheit)]],"")</f>
        <v/>
      </c>
      <c r="BC91" s="15" t="str">
        <f>IFERROR(Kühl_und_Kältemittel[[#This Row],[Wert 
(Zahl)]]*Kühl_und_Kältemittel[[#This Row],[EF Scope 2 NF3
(kg NF3/Einheit)]],"")</f>
        <v/>
      </c>
      <c r="BD91" s="15" t="str">
        <f>IFERROR(Kühl_und_Kältemittel[[#This Row],[Wert 
(Zahl)]]*Kühl_und_Kältemittel[[#This Row],[EF Scope 2 Nicht-Kyoto-Gase (kg Nicht-Kyoto-Gase/Einheit)]],"")</f>
        <v/>
      </c>
      <c r="BE91" s="10" t="str">
        <f>IF(ISBLANK(Kühl_und_Kältemittel[[#This Row],[Wert 
(Zahl)]]),"",IFERROR(Kühl_und_Kältemittel[[#This Row],[Scope 1 CO2 '[kg CO2']]]*IFERROR(VLOOKUP("CO2",GWP_100[],3,FALSE),0),0))</f>
        <v/>
      </c>
      <c r="BF91" s="10" t="str">
        <f>IF(ISBLANK(Kühl_und_Kältemittel[[#This Row],[Wert 
(Zahl)]]),"",IFERROR(Kühl_und_Kältemittel[[#This Row],[Scope 1 CH4 '[kg CH4']]]*IFERROR(VLOOKUP("CH4",GWP_100[],4,FALSE),0),0))</f>
        <v/>
      </c>
      <c r="BG91" s="10" t="str">
        <f>IF(ISBLANK(Kühl_und_Kältemittel[[#This Row],[Wert 
(Zahl)]]),"",IFERROR(Kühl_und_Kältemittel[[#This Row],[Scope 1 N2O '[kg N2O']]]*IFERROR(VLOOKUP("N2O",GWP_100[],5,FALSE),0),0))</f>
        <v/>
      </c>
      <c r="BH91" s="10" t="str">
        <f>IF(ISBLANK(Kühl_und_Kältemittel[[#This Row],[Wert 
(Zahl)]]),"",IFERROR(Kühl_und_Kältemittel[[#This Row],[Scope 1 HFCs '[kg HFCs']]]*IFERROR(VLOOKUP(Kühl_und_Kältemittel[[#This Row],[Emissionsquelle/Aktivität (Dropdown)]],GWP_100[],6,FALSE),0),0))</f>
        <v/>
      </c>
      <c r="BI91" s="10" t="str">
        <f>IF(ISBLANK(Kühl_und_Kältemittel[[#This Row],[Wert 
(Zahl)]]),"",IFERROR(Kühl_und_Kältemittel[[#This Row],[Scope 1 PFCs '[kg PFCs']]]*IFERROR(VLOOKUP(Kühl_und_Kältemittel[[#This Row],[Emissionsquelle/Aktivität (Dropdown)]],GWP_100[],7,FALSE),0),0))</f>
        <v/>
      </c>
      <c r="BJ91" s="10" t="str">
        <f>IF(ISBLANK(Kühl_und_Kältemittel[[#This Row],[Wert 
(Zahl)]]),"",IFERROR(Kühl_und_Kältemittel[[#This Row],[Scope 1 SF6 '[kg SF6']]]*IFERROR(VLOOKUP("SF6",GWP_100[],8,FALSE),0),0))</f>
        <v/>
      </c>
      <c r="BK91" s="10" t="str">
        <f>IF(ISBLANK(Kühl_und_Kältemittel[[#This Row],[Wert 
(Zahl)]]),"",IFERROR(Kühl_und_Kältemittel[[#This Row],[Scope 1 NF3 '[kg NF3']]]*IFERROR(VLOOKUP("NF3",GWP_100[],9,FALSE),0),0))</f>
        <v/>
      </c>
      <c r="BL91" s="10" t="str">
        <f>IF(ISBLANK(Kühl_und_Kältemittel[[#This Row],[Wert 
(Zahl)]]),"",IFERROR(Kühl_und_Kältemittel[[#This Row],[Scope 1 non-Kyoto '[kg non-Kyoto gas']]]*IFERROR(VLOOKUP(Kühl_und_Kältemittel[[#This Row],[Emissionsquelle/Aktivität (Dropdown)]],GWP_100[],10,FALSE),0),0))</f>
        <v/>
      </c>
      <c r="BM91" s="10" t="str">
        <f>IF(ISBLANK(Kühl_und_Kältemittel[[#This Row],[Wert 
(Zahl)]]),"",IFERROR(Kühl_und_Kältemittel[[#This Row],[Scope 2 CO2 '[kg CO2']]]*IFERROR(VLOOKUP("CO2",GWP_100[],3,FALSE),0),0))</f>
        <v/>
      </c>
      <c r="BN91" s="10" t="str">
        <f>IF(ISBLANK(Kühl_und_Kältemittel[[#This Row],[Wert 
(Zahl)]]),"",IFERROR(Kühl_und_Kältemittel[[#This Row],[Scope 2 CH4 '[kg CH4']]]*IFERROR(VLOOKUP("CH4",GWP_100[],4,FALSE),0),0))</f>
        <v/>
      </c>
      <c r="BO91" s="10" t="str">
        <f>IF(ISBLANK(Kühl_und_Kältemittel[[#This Row],[Wert 
(Zahl)]]),"",IFERROR(Kühl_und_Kältemittel[[#This Row],[Scope 2 N2O '[kg N2O']]]*IFERROR(VLOOKUP("N2O",GWP_100[],5,FALSE),0),0))</f>
        <v/>
      </c>
      <c r="BP91" s="10" t="str">
        <f>IF(ISBLANK(Kühl_und_Kältemittel[[#This Row],[Wert 
(Zahl)]]),"",IFERROR(Kühl_und_Kältemittel[[#This Row],[Scope 2 HFCs '[kg HFCs']]]*IFERROR(VLOOKUP(Kühl_und_Kältemittel[[#This Row],[Emissionsquelle/Aktivität (Dropdown)]],GWP_100[],6,FALSE),0),0))</f>
        <v/>
      </c>
      <c r="BQ91" s="10" t="str">
        <f>IF(ISBLANK(Kühl_und_Kältemittel[[#This Row],[Wert 
(Zahl)]]),"",IFERROR(Kühl_und_Kältemittel[[#This Row],[Scope 2 PFCs '[kg PFCs']]]*IFERROR(VLOOKUP(Kühl_und_Kältemittel[[#This Row],[Emissionsquelle/Aktivität (Dropdown)]],GWP_100[],7,FALSE),0),0))</f>
        <v/>
      </c>
      <c r="BR91" s="10" t="str">
        <f>IF(ISBLANK(Kühl_und_Kältemittel[[#This Row],[Wert 
(Zahl)]]),"",IFERROR(Kühl_und_Kältemittel[[#This Row],[Scope 2 SF6 '[kg SF6']]]*IFERROR(VLOOKUP("SF6",GWP_100[],8,FALSE),0),0))</f>
        <v/>
      </c>
      <c r="BS91" s="10" t="str">
        <f>IF(ISBLANK(Kühl_und_Kältemittel[[#This Row],[Wert 
(Zahl)]]),"",IFERROR(Kühl_und_Kältemittel[[#This Row],[Scope 2 NF3 '[kg NF3']]]*IFERROR(VLOOKUP("NF3",GWP_100[],9,FALSE),0),0))</f>
        <v/>
      </c>
      <c r="BT91" s="10" t="str">
        <f>IF(ISBLANK(Kühl_und_Kältemittel[[#This Row],[Wert 
(Zahl)]]),"",IFERROR(Kühl_und_Kältemittel[[#This Row],[Scope 2 non-Kyoto '[kg non-Kyoto gas']]]*IFERROR(VLOOKUP(Kühl_und_Kältemittel[[#This Row],[Emissionsquelle/Aktivität (Dropdown)]],GWP_100[],10,FALSE),0),0))</f>
        <v/>
      </c>
    </row>
    <row r="92" spans="2:92" s="89" customFormat="1" x14ac:dyDescent="0.35">
      <c r="B92" s="604"/>
      <c r="C92" s="10" t="str">
        <f t="shared" si="2"/>
        <v>Kühl_und_Kältemittel</v>
      </c>
      <c r="D92" s="90"/>
      <c r="E92" s="90"/>
      <c r="F92" s="288"/>
      <c r="G92" s="10" t="str">
        <f>IFERROR(VLOOKUP(Kühl_und_Kältemittel[[#This Row],[Thema_Bezeichung]],EFs_Kühlmittel[],4,FALSE),"")</f>
        <v/>
      </c>
      <c r="H92" s="90"/>
      <c r="I92" s="90"/>
      <c r="J92" s="90"/>
      <c r="K92" s="284" t="str">
        <f>IF(ISBLANK(Kühl_und_Kältemittel[[#This Row],[Wert 
(Zahl)]]),"", SUM(Kühl_und_Kältemittel[[#This Row],[Scope 1 CO2e '[kg CO2e']]:[Scope 3 CO2e '[kg CO2e']]]))</f>
        <v/>
      </c>
      <c r="L92" s="158"/>
      <c r="M92" s="408"/>
      <c r="N92" s="408"/>
      <c r="O92" s="15" t="str">
        <f>IF(ISBLANK(Kühl_und_Kältemittel[[#This Row],[Emissionsquelle/Aktivität (Dropdown)]]),"",CONCATENATE(Kühl_und_Kältemittel[[#This Row],[Sektor_Thema]]," - ",Kühl_und_Kältemittel[[#This Row],[Emissionsquelle/Aktivität (Dropdown)]]))</f>
        <v/>
      </c>
      <c r="P92" s="15"/>
      <c r="Q92" s="15" t="str">
        <f>IFERROR(VLOOKUP(Kühl_und_Kältemittel[[#This Row],[Thema_Bezeichung]],EFs_Kühlmittel[],5,FALSE),"")</f>
        <v/>
      </c>
      <c r="R92" s="15" t="str">
        <f>IFERROR(VLOOKUP(Kühl_und_Kältemittel[[#This Row],[Thema_Bezeichung]],EFs_Kühlmittel[],6,FALSE),"")</f>
        <v/>
      </c>
      <c r="S92" s="15" t="str">
        <f>IFERROR(VLOOKUP(Kühl_und_Kältemittel[[#This Row],[Thema_Bezeichung]],EFs_Kühlmittel[],7,FALSE),"")</f>
        <v/>
      </c>
      <c r="T92" s="15" t="str">
        <f>IFERROR(VLOOKUP(Kühl_und_Kältemittel[[#This Row],[Thema_Bezeichung]],EFs_Kühlmittel[],8,FALSE),"")</f>
        <v/>
      </c>
      <c r="U92" s="15" t="str">
        <f>IFERROR(VLOOKUP(Kühl_und_Kältemittel[[#This Row],[Thema_Bezeichung]],EFs_Kühlmittel[],9,FALSE),"")</f>
        <v/>
      </c>
      <c r="V92" s="15" t="str">
        <f>IFERROR(VLOOKUP(Kühl_und_Kältemittel[[#This Row],[Thema_Bezeichung]],EFs_Kühlmittel[],10,FALSE),"")</f>
        <v/>
      </c>
      <c r="W92" s="15" t="str">
        <f>IFERROR(VLOOKUP(Kühl_und_Kältemittel[[#This Row],[Thema_Bezeichung]],EFs_Kühlmittel[],11,FALSE),"")</f>
        <v/>
      </c>
      <c r="X92" s="15" t="str">
        <f>IFERROR(VLOOKUP(Kühl_und_Kältemittel[[#This Row],[Thema_Bezeichung]],EFs_Kühlmittel[],12,FALSE),"")</f>
        <v/>
      </c>
      <c r="Y92" s="15" t="str">
        <f>IFERROR(VLOOKUP(Kühl_und_Kältemittel[[#This Row],[Thema_Bezeichung]],EFs_Kühlmittel[],13,FALSE),"")</f>
        <v/>
      </c>
      <c r="Z92" s="15" t="str">
        <f>IFERROR(VLOOKUP(Kühl_und_Kältemittel[[#This Row],[Thema_Bezeichung]],EFs_Kühlmittel[],14,FALSE),"")</f>
        <v/>
      </c>
      <c r="AA92" s="15" t="str">
        <f>IFERROR(VLOOKUP(Kühl_und_Kältemittel[[#This Row],[Thema_Bezeichung]],EFs_Kühlmittel[],15,FALSE),"")</f>
        <v/>
      </c>
      <c r="AB92" s="15" t="str">
        <f>IFERROR(VLOOKUP(Kühl_und_Kältemittel[[#This Row],[Thema_Bezeichung]],EFs_Kühlmittel[],16,FALSE),"")</f>
        <v/>
      </c>
      <c r="AC92" s="15" t="str">
        <f>IFERROR(VLOOKUP(Kühl_und_Kältemittel[[#This Row],[Thema_Bezeichung]],EFs_Kühlmittel[],17,FALSE),"")</f>
        <v/>
      </c>
      <c r="AD92" s="15" t="str">
        <f>IFERROR(VLOOKUP(Kühl_und_Kältemittel[[#This Row],[Thema_Bezeichung]],EFs_Kühlmittel[],18,FALSE),"")</f>
        <v/>
      </c>
      <c r="AE92" s="15" t="str">
        <f>IFERROR(VLOOKUP(Kühl_und_Kältemittel[[#This Row],[Thema_Bezeichung]],EFs_Kühlmittel[],19,FALSE),"")</f>
        <v/>
      </c>
      <c r="AF92" s="15" t="str">
        <f>IFERROR(VLOOKUP(Kühl_und_Kältemittel[[#This Row],[Thema_Bezeichung]],EFs_Kühlmittel[],20,FALSE),"")</f>
        <v/>
      </c>
      <c r="AG92" s="15" t="str">
        <f>IFERROR(VLOOKUP(Kühl_und_Kältemittel[[#This Row],[Thema_Bezeichung]],EFs_Kühlmittel[],21,FALSE),"")</f>
        <v/>
      </c>
      <c r="AH92" s="15" t="str">
        <f>IFERROR(VLOOKUP(Kühl_und_Kältemittel[[#This Row],[Thema_Bezeichung]],EFs_Kühlmittel[],22,FALSE),"")</f>
        <v/>
      </c>
      <c r="AI92" s="15" t="str">
        <f>IFERROR(VLOOKUP(Kühl_und_Kältemittel[[#This Row],[Thema_Bezeichung]],EFs_Kühlmittel[],23,FALSE),"")</f>
        <v/>
      </c>
      <c r="AJ92" s="15" t="str">
        <f>IFERROR(VLOOKUP(Kühl_und_Kältemittel[[#This Row],[Thema_Bezeichung]],EFs_Kühlmittel[],24,FALSE),"")</f>
        <v/>
      </c>
      <c r="AK92" s="15" t="str">
        <f>IFERROR(Kühl_und_Kältemittel[[#This Row],[Wert 
(Zahl)]]*Kühl_und_Kältemittel[[#This Row],[EF Scope 1 CO2e
(kg CO2e/Einheit)]],"")</f>
        <v/>
      </c>
      <c r="AL92" s="15" t="str">
        <f>IFERROR(Kühl_und_Kältemittel[[#This Row],[Wert 
(Zahl)]]*Kühl_und_Kältemittel[[#This Row],[EF Scope 2 CO2e
(kg CO2e/Einheit)]],"")</f>
        <v/>
      </c>
      <c r="AM92" s="15" t="str">
        <f>IFERROR(Kühl_und_Kältemittel[[#This Row],[Wert 
(Zahl)]]*Kühl_und_Kältemittel[[#This Row],[EF Scope 3 CO2e
(kg CO2e/Einheit)]],"")</f>
        <v/>
      </c>
      <c r="AN92" s="15" t="str">
        <f>IFERROR(Kühl_und_Kältemittel[[#This Row],[Wert 
(Zahl)]]*Kühl_und_Kältemittel[[#This Row],[EF Scope 1 CO2 biogen
(kg CO2 /Einheit)]],"")</f>
        <v/>
      </c>
      <c r="AO92" s="15" t="str">
        <f>IFERROR(Kühl_und_Kältemittel[[#This Row],[Wert 
(Zahl)]]*Kühl_und_Kältemittel[[#This Row],[EF Scope 1 CO2
(kg CO2/Einheit)]],"")</f>
        <v/>
      </c>
      <c r="AP92" s="15" t="str">
        <f>IFERROR(Kühl_und_Kältemittel[[#This Row],[Wert 
(Zahl)]]*Kühl_und_Kältemittel[[#This Row],[EF Scope 1 CH4
(kg CH4/Einheit)]],"")</f>
        <v/>
      </c>
      <c r="AQ92" s="15" t="str">
        <f>IFERROR(Kühl_und_Kältemittel[[#This Row],[Wert 
(Zahl)]]*Kühl_und_Kältemittel[[#This Row],[EF Scope 1 N2O
(kg N2O/Einheit)]],"")</f>
        <v/>
      </c>
      <c r="AR92" s="15" t="str">
        <f>IFERROR(Kühl_und_Kältemittel[[#This Row],[Wert 
(Zahl)]]*Kühl_und_Kältemittel[[#This Row],[EF Scope 1 HFCs
(kg HFCs/Einheit)]],"")</f>
        <v/>
      </c>
      <c r="AS92" s="15" t="str">
        <f>IFERROR(Kühl_und_Kältemittel[[#This Row],[Wert 
(Zahl)]]*Kühl_und_Kältemittel[[#This Row],[EF Scope 1 PFCs
(kg PFCs/Einheit)]],"")</f>
        <v/>
      </c>
      <c r="AT92" s="15" t="str">
        <f>IFERROR(Kühl_und_Kältemittel[[#This Row],[Wert 
(Zahl)]]*Kühl_und_Kältemittel[[#This Row],[EF Scope 1 SF6
(kg SF6/Einheit)]],"")</f>
        <v/>
      </c>
      <c r="AU92" s="15" t="str">
        <f>IFERROR(Kühl_und_Kältemittel[[#This Row],[Wert 
(Zahl)]]*Kühl_und_Kältemittel[[#This Row],[EF Scope 1 NF3
(kg NF3/Einheit)]],"")</f>
        <v/>
      </c>
      <c r="AV92" s="15" t="str">
        <f>IFERROR(Kühl_und_Kältemittel[[#This Row],[Wert 
(Zahl)]]*Kühl_und_Kältemittel[[#This Row],[EF Scope 1 Nicht-Kyoto-Gase (kg Nicht-Kyoto-Gase/Einheit)]],"")</f>
        <v/>
      </c>
      <c r="AW92" s="15" t="str">
        <f>IFERROR(Kühl_und_Kältemittel[[#This Row],[Wert 
(Zahl)]]*Kühl_und_Kältemittel[[#This Row],[EF Scope 2 CO2
(kg CO2/Einheit)]],"")</f>
        <v/>
      </c>
      <c r="AX92" s="15" t="str">
        <f>IFERROR(Kühl_und_Kältemittel[[#This Row],[Wert 
(Zahl)]]*Kühl_und_Kältemittel[[#This Row],[EF Scope 2 CH4
(kg CH4/Einheit)]],"")</f>
        <v/>
      </c>
      <c r="AY92" s="15" t="str">
        <f>IFERROR(Kühl_und_Kältemittel[[#This Row],[Wert 
(Zahl)]]*Kühl_und_Kältemittel[[#This Row],[EF Scope 2 N2O
(kg N2O/Einheit)]],"")</f>
        <v/>
      </c>
      <c r="AZ92" s="15" t="str">
        <f>IFERROR(Kühl_und_Kältemittel[[#This Row],[Wert 
(Zahl)]]*Kühl_und_Kältemittel[[#This Row],[EF Scope 2 HFCs
(kg HFCs/Einheit)]],"")</f>
        <v/>
      </c>
      <c r="BA92" s="15" t="str">
        <f>IFERROR(Kühl_und_Kältemittel[[#This Row],[Wert 
(Zahl)]]*Kühl_und_Kältemittel[[#This Row],[EF Scope 2 PFCs
(kg PFCs/Einheit)]],"")</f>
        <v/>
      </c>
      <c r="BB92" s="15" t="str">
        <f>IFERROR(Kühl_und_Kältemittel[[#This Row],[Wert 
(Zahl)]]*Kühl_und_Kältemittel[[#This Row],[EF Scope 2 SF6
(kg SF6/Einheit)]],"")</f>
        <v/>
      </c>
      <c r="BC92" s="15" t="str">
        <f>IFERROR(Kühl_und_Kältemittel[[#This Row],[Wert 
(Zahl)]]*Kühl_und_Kältemittel[[#This Row],[EF Scope 2 NF3
(kg NF3/Einheit)]],"")</f>
        <v/>
      </c>
      <c r="BD92" s="15" t="str">
        <f>IFERROR(Kühl_und_Kältemittel[[#This Row],[Wert 
(Zahl)]]*Kühl_und_Kältemittel[[#This Row],[EF Scope 2 Nicht-Kyoto-Gase (kg Nicht-Kyoto-Gase/Einheit)]],"")</f>
        <v/>
      </c>
      <c r="BE92" s="10" t="str">
        <f>IF(ISBLANK(Kühl_und_Kältemittel[[#This Row],[Wert 
(Zahl)]]),"",IFERROR(Kühl_und_Kältemittel[[#This Row],[Scope 1 CO2 '[kg CO2']]]*IFERROR(VLOOKUP("CO2",GWP_100[],3,FALSE),0),0))</f>
        <v/>
      </c>
      <c r="BF92" s="10" t="str">
        <f>IF(ISBLANK(Kühl_und_Kältemittel[[#This Row],[Wert 
(Zahl)]]),"",IFERROR(Kühl_und_Kältemittel[[#This Row],[Scope 1 CH4 '[kg CH4']]]*IFERROR(VLOOKUP("CH4",GWP_100[],4,FALSE),0),0))</f>
        <v/>
      </c>
      <c r="BG92" s="10" t="str">
        <f>IF(ISBLANK(Kühl_und_Kältemittel[[#This Row],[Wert 
(Zahl)]]),"",IFERROR(Kühl_und_Kältemittel[[#This Row],[Scope 1 N2O '[kg N2O']]]*IFERROR(VLOOKUP("N2O",GWP_100[],5,FALSE),0),0))</f>
        <v/>
      </c>
      <c r="BH92" s="10" t="str">
        <f>IF(ISBLANK(Kühl_und_Kältemittel[[#This Row],[Wert 
(Zahl)]]),"",IFERROR(Kühl_und_Kältemittel[[#This Row],[Scope 1 HFCs '[kg HFCs']]]*IFERROR(VLOOKUP(Kühl_und_Kältemittel[[#This Row],[Emissionsquelle/Aktivität (Dropdown)]],GWP_100[],6,FALSE),0),0))</f>
        <v/>
      </c>
      <c r="BI92" s="10" t="str">
        <f>IF(ISBLANK(Kühl_und_Kältemittel[[#This Row],[Wert 
(Zahl)]]),"",IFERROR(Kühl_und_Kältemittel[[#This Row],[Scope 1 PFCs '[kg PFCs']]]*IFERROR(VLOOKUP(Kühl_und_Kältemittel[[#This Row],[Emissionsquelle/Aktivität (Dropdown)]],GWP_100[],7,FALSE),0),0))</f>
        <v/>
      </c>
      <c r="BJ92" s="10" t="str">
        <f>IF(ISBLANK(Kühl_und_Kältemittel[[#This Row],[Wert 
(Zahl)]]),"",IFERROR(Kühl_und_Kältemittel[[#This Row],[Scope 1 SF6 '[kg SF6']]]*IFERROR(VLOOKUP("SF6",GWP_100[],8,FALSE),0),0))</f>
        <v/>
      </c>
      <c r="BK92" s="10" t="str">
        <f>IF(ISBLANK(Kühl_und_Kältemittel[[#This Row],[Wert 
(Zahl)]]),"",IFERROR(Kühl_und_Kältemittel[[#This Row],[Scope 1 NF3 '[kg NF3']]]*IFERROR(VLOOKUP("NF3",GWP_100[],9,FALSE),0),0))</f>
        <v/>
      </c>
      <c r="BL92" s="10" t="str">
        <f>IF(ISBLANK(Kühl_und_Kältemittel[[#This Row],[Wert 
(Zahl)]]),"",IFERROR(Kühl_und_Kältemittel[[#This Row],[Scope 1 non-Kyoto '[kg non-Kyoto gas']]]*IFERROR(VLOOKUP(Kühl_und_Kältemittel[[#This Row],[Emissionsquelle/Aktivität (Dropdown)]],GWP_100[],10,FALSE),0),0))</f>
        <v/>
      </c>
      <c r="BM92" s="10" t="str">
        <f>IF(ISBLANK(Kühl_und_Kältemittel[[#This Row],[Wert 
(Zahl)]]),"",IFERROR(Kühl_und_Kältemittel[[#This Row],[Scope 2 CO2 '[kg CO2']]]*IFERROR(VLOOKUP("CO2",GWP_100[],3,FALSE),0),0))</f>
        <v/>
      </c>
      <c r="BN92" s="10" t="str">
        <f>IF(ISBLANK(Kühl_und_Kältemittel[[#This Row],[Wert 
(Zahl)]]),"",IFERROR(Kühl_und_Kältemittel[[#This Row],[Scope 2 CH4 '[kg CH4']]]*IFERROR(VLOOKUP("CH4",GWP_100[],4,FALSE),0),0))</f>
        <v/>
      </c>
      <c r="BO92" s="10" t="str">
        <f>IF(ISBLANK(Kühl_und_Kältemittel[[#This Row],[Wert 
(Zahl)]]),"",IFERROR(Kühl_und_Kältemittel[[#This Row],[Scope 2 N2O '[kg N2O']]]*IFERROR(VLOOKUP("N2O",GWP_100[],5,FALSE),0),0))</f>
        <v/>
      </c>
      <c r="BP92" s="10" t="str">
        <f>IF(ISBLANK(Kühl_und_Kältemittel[[#This Row],[Wert 
(Zahl)]]),"",IFERROR(Kühl_und_Kältemittel[[#This Row],[Scope 2 HFCs '[kg HFCs']]]*IFERROR(VLOOKUP(Kühl_und_Kältemittel[[#This Row],[Emissionsquelle/Aktivität (Dropdown)]],GWP_100[],6,FALSE),0),0))</f>
        <v/>
      </c>
      <c r="BQ92" s="10" t="str">
        <f>IF(ISBLANK(Kühl_und_Kältemittel[[#This Row],[Wert 
(Zahl)]]),"",IFERROR(Kühl_und_Kältemittel[[#This Row],[Scope 2 PFCs '[kg PFCs']]]*IFERROR(VLOOKUP(Kühl_und_Kältemittel[[#This Row],[Emissionsquelle/Aktivität (Dropdown)]],GWP_100[],7,FALSE),0),0))</f>
        <v/>
      </c>
      <c r="BR92" s="10" t="str">
        <f>IF(ISBLANK(Kühl_und_Kältemittel[[#This Row],[Wert 
(Zahl)]]),"",IFERROR(Kühl_und_Kältemittel[[#This Row],[Scope 2 SF6 '[kg SF6']]]*IFERROR(VLOOKUP("SF6",GWP_100[],8,FALSE),0),0))</f>
        <v/>
      </c>
      <c r="BS92" s="10" t="str">
        <f>IF(ISBLANK(Kühl_und_Kältemittel[[#This Row],[Wert 
(Zahl)]]),"",IFERROR(Kühl_und_Kältemittel[[#This Row],[Scope 2 NF3 '[kg NF3']]]*IFERROR(VLOOKUP("NF3",GWP_100[],9,FALSE),0),0))</f>
        <v/>
      </c>
      <c r="BT92" s="10" t="str">
        <f>IF(ISBLANK(Kühl_und_Kältemittel[[#This Row],[Wert 
(Zahl)]]),"",IFERROR(Kühl_und_Kältemittel[[#This Row],[Scope 2 non-Kyoto '[kg non-Kyoto gas']]]*IFERROR(VLOOKUP(Kühl_und_Kältemittel[[#This Row],[Emissionsquelle/Aktivität (Dropdown)]],GWP_100[],10,FALSE),0),0))</f>
        <v/>
      </c>
    </row>
    <row r="93" spans="2:92" s="89" customFormat="1" x14ac:dyDescent="0.35">
      <c r="B93" s="604"/>
      <c r="C93" s="10" t="str">
        <f t="shared" si="2"/>
        <v>Kühl_und_Kältemittel</v>
      </c>
      <c r="D93" s="90"/>
      <c r="E93" s="90"/>
      <c r="F93" s="288"/>
      <c r="G93" s="10" t="str">
        <f>IFERROR(VLOOKUP(Kühl_und_Kältemittel[[#This Row],[Thema_Bezeichung]],EFs_Kühlmittel[],4,FALSE),"")</f>
        <v/>
      </c>
      <c r="H93" s="90"/>
      <c r="I93" s="90"/>
      <c r="J93" s="90"/>
      <c r="K93" s="284" t="str">
        <f>IF(ISBLANK(Kühl_und_Kältemittel[[#This Row],[Wert 
(Zahl)]]),"", SUM(Kühl_und_Kältemittel[[#This Row],[Scope 1 CO2e '[kg CO2e']]:[Scope 3 CO2e '[kg CO2e']]]))</f>
        <v/>
      </c>
      <c r="L93" s="158"/>
      <c r="M93" s="408"/>
      <c r="N93" s="408"/>
      <c r="O93" s="15" t="str">
        <f>IF(ISBLANK(Kühl_und_Kältemittel[[#This Row],[Emissionsquelle/Aktivität (Dropdown)]]),"",CONCATENATE(Kühl_und_Kältemittel[[#This Row],[Sektor_Thema]]," - ",Kühl_und_Kältemittel[[#This Row],[Emissionsquelle/Aktivität (Dropdown)]]))</f>
        <v/>
      </c>
      <c r="P93" s="15"/>
      <c r="Q93" s="15" t="str">
        <f>IFERROR(VLOOKUP(Kühl_und_Kältemittel[[#This Row],[Thema_Bezeichung]],EFs_Kühlmittel[],5,FALSE),"")</f>
        <v/>
      </c>
      <c r="R93" s="15" t="str">
        <f>IFERROR(VLOOKUP(Kühl_und_Kältemittel[[#This Row],[Thema_Bezeichung]],EFs_Kühlmittel[],6,FALSE),"")</f>
        <v/>
      </c>
      <c r="S93" s="15" t="str">
        <f>IFERROR(VLOOKUP(Kühl_und_Kältemittel[[#This Row],[Thema_Bezeichung]],EFs_Kühlmittel[],7,FALSE),"")</f>
        <v/>
      </c>
      <c r="T93" s="15" t="str">
        <f>IFERROR(VLOOKUP(Kühl_und_Kältemittel[[#This Row],[Thema_Bezeichung]],EFs_Kühlmittel[],8,FALSE),"")</f>
        <v/>
      </c>
      <c r="U93" s="15" t="str">
        <f>IFERROR(VLOOKUP(Kühl_und_Kältemittel[[#This Row],[Thema_Bezeichung]],EFs_Kühlmittel[],9,FALSE),"")</f>
        <v/>
      </c>
      <c r="V93" s="15" t="str">
        <f>IFERROR(VLOOKUP(Kühl_und_Kältemittel[[#This Row],[Thema_Bezeichung]],EFs_Kühlmittel[],10,FALSE),"")</f>
        <v/>
      </c>
      <c r="W93" s="15" t="str">
        <f>IFERROR(VLOOKUP(Kühl_und_Kältemittel[[#This Row],[Thema_Bezeichung]],EFs_Kühlmittel[],11,FALSE),"")</f>
        <v/>
      </c>
      <c r="X93" s="15" t="str">
        <f>IFERROR(VLOOKUP(Kühl_und_Kältemittel[[#This Row],[Thema_Bezeichung]],EFs_Kühlmittel[],12,FALSE),"")</f>
        <v/>
      </c>
      <c r="Y93" s="15" t="str">
        <f>IFERROR(VLOOKUP(Kühl_und_Kältemittel[[#This Row],[Thema_Bezeichung]],EFs_Kühlmittel[],13,FALSE),"")</f>
        <v/>
      </c>
      <c r="Z93" s="15" t="str">
        <f>IFERROR(VLOOKUP(Kühl_und_Kältemittel[[#This Row],[Thema_Bezeichung]],EFs_Kühlmittel[],14,FALSE),"")</f>
        <v/>
      </c>
      <c r="AA93" s="15" t="str">
        <f>IFERROR(VLOOKUP(Kühl_und_Kältemittel[[#This Row],[Thema_Bezeichung]],EFs_Kühlmittel[],15,FALSE),"")</f>
        <v/>
      </c>
      <c r="AB93" s="15" t="str">
        <f>IFERROR(VLOOKUP(Kühl_und_Kältemittel[[#This Row],[Thema_Bezeichung]],EFs_Kühlmittel[],16,FALSE),"")</f>
        <v/>
      </c>
      <c r="AC93" s="15" t="str">
        <f>IFERROR(VLOOKUP(Kühl_und_Kältemittel[[#This Row],[Thema_Bezeichung]],EFs_Kühlmittel[],17,FALSE),"")</f>
        <v/>
      </c>
      <c r="AD93" s="15" t="str">
        <f>IFERROR(VLOOKUP(Kühl_und_Kältemittel[[#This Row],[Thema_Bezeichung]],EFs_Kühlmittel[],18,FALSE),"")</f>
        <v/>
      </c>
      <c r="AE93" s="15" t="str">
        <f>IFERROR(VLOOKUP(Kühl_und_Kältemittel[[#This Row],[Thema_Bezeichung]],EFs_Kühlmittel[],19,FALSE),"")</f>
        <v/>
      </c>
      <c r="AF93" s="15" t="str">
        <f>IFERROR(VLOOKUP(Kühl_und_Kältemittel[[#This Row],[Thema_Bezeichung]],EFs_Kühlmittel[],20,FALSE),"")</f>
        <v/>
      </c>
      <c r="AG93" s="15" t="str">
        <f>IFERROR(VLOOKUP(Kühl_und_Kältemittel[[#This Row],[Thema_Bezeichung]],EFs_Kühlmittel[],21,FALSE),"")</f>
        <v/>
      </c>
      <c r="AH93" s="15" t="str">
        <f>IFERROR(VLOOKUP(Kühl_und_Kältemittel[[#This Row],[Thema_Bezeichung]],EFs_Kühlmittel[],22,FALSE),"")</f>
        <v/>
      </c>
      <c r="AI93" s="15" t="str">
        <f>IFERROR(VLOOKUP(Kühl_und_Kältemittel[[#This Row],[Thema_Bezeichung]],EFs_Kühlmittel[],23,FALSE),"")</f>
        <v/>
      </c>
      <c r="AJ93" s="15" t="str">
        <f>IFERROR(VLOOKUP(Kühl_und_Kältemittel[[#This Row],[Thema_Bezeichung]],EFs_Kühlmittel[],24,FALSE),"")</f>
        <v/>
      </c>
      <c r="AK93" s="15" t="str">
        <f>IFERROR(Kühl_und_Kältemittel[[#This Row],[Wert 
(Zahl)]]*Kühl_und_Kältemittel[[#This Row],[EF Scope 1 CO2e
(kg CO2e/Einheit)]],"")</f>
        <v/>
      </c>
      <c r="AL93" s="15" t="str">
        <f>IFERROR(Kühl_und_Kältemittel[[#This Row],[Wert 
(Zahl)]]*Kühl_und_Kältemittel[[#This Row],[EF Scope 2 CO2e
(kg CO2e/Einheit)]],"")</f>
        <v/>
      </c>
      <c r="AM93" s="15" t="str">
        <f>IFERROR(Kühl_und_Kältemittel[[#This Row],[Wert 
(Zahl)]]*Kühl_und_Kältemittel[[#This Row],[EF Scope 3 CO2e
(kg CO2e/Einheit)]],"")</f>
        <v/>
      </c>
      <c r="AN93" s="15" t="str">
        <f>IFERROR(Kühl_und_Kältemittel[[#This Row],[Wert 
(Zahl)]]*Kühl_und_Kältemittel[[#This Row],[EF Scope 1 CO2 biogen
(kg CO2 /Einheit)]],"")</f>
        <v/>
      </c>
      <c r="AO93" s="15" t="str">
        <f>IFERROR(Kühl_und_Kältemittel[[#This Row],[Wert 
(Zahl)]]*Kühl_und_Kältemittel[[#This Row],[EF Scope 1 CO2
(kg CO2/Einheit)]],"")</f>
        <v/>
      </c>
      <c r="AP93" s="15" t="str">
        <f>IFERROR(Kühl_und_Kältemittel[[#This Row],[Wert 
(Zahl)]]*Kühl_und_Kältemittel[[#This Row],[EF Scope 1 CH4
(kg CH4/Einheit)]],"")</f>
        <v/>
      </c>
      <c r="AQ93" s="15" t="str">
        <f>IFERROR(Kühl_und_Kältemittel[[#This Row],[Wert 
(Zahl)]]*Kühl_und_Kältemittel[[#This Row],[EF Scope 1 N2O
(kg N2O/Einheit)]],"")</f>
        <v/>
      </c>
      <c r="AR93" s="15" t="str">
        <f>IFERROR(Kühl_und_Kältemittel[[#This Row],[Wert 
(Zahl)]]*Kühl_und_Kältemittel[[#This Row],[EF Scope 1 HFCs
(kg HFCs/Einheit)]],"")</f>
        <v/>
      </c>
      <c r="AS93" s="15" t="str">
        <f>IFERROR(Kühl_und_Kältemittel[[#This Row],[Wert 
(Zahl)]]*Kühl_und_Kältemittel[[#This Row],[EF Scope 1 PFCs
(kg PFCs/Einheit)]],"")</f>
        <v/>
      </c>
      <c r="AT93" s="15" t="str">
        <f>IFERROR(Kühl_und_Kältemittel[[#This Row],[Wert 
(Zahl)]]*Kühl_und_Kältemittel[[#This Row],[EF Scope 1 SF6
(kg SF6/Einheit)]],"")</f>
        <v/>
      </c>
      <c r="AU93" s="15" t="str">
        <f>IFERROR(Kühl_und_Kältemittel[[#This Row],[Wert 
(Zahl)]]*Kühl_und_Kältemittel[[#This Row],[EF Scope 1 NF3
(kg NF3/Einheit)]],"")</f>
        <v/>
      </c>
      <c r="AV93" s="15" t="str">
        <f>IFERROR(Kühl_und_Kältemittel[[#This Row],[Wert 
(Zahl)]]*Kühl_und_Kältemittel[[#This Row],[EF Scope 1 Nicht-Kyoto-Gase (kg Nicht-Kyoto-Gase/Einheit)]],"")</f>
        <v/>
      </c>
      <c r="AW93" s="15" t="str">
        <f>IFERROR(Kühl_und_Kältemittel[[#This Row],[Wert 
(Zahl)]]*Kühl_und_Kältemittel[[#This Row],[EF Scope 2 CO2
(kg CO2/Einheit)]],"")</f>
        <v/>
      </c>
      <c r="AX93" s="15" t="str">
        <f>IFERROR(Kühl_und_Kältemittel[[#This Row],[Wert 
(Zahl)]]*Kühl_und_Kältemittel[[#This Row],[EF Scope 2 CH4
(kg CH4/Einheit)]],"")</f>
        <v/>
      </c>
      <c r="AY93" s="15" t="str">
        <f>IFERROR(Kühl_und_Kältemittel[[#This Row],[Wert 
(Zahl)]]*Kühl_und_Kältemittel[[#This Row],[EF Scope 2 N2O
(kg N2O/Einheit)]],"")</f>
        <v/>
      </c>
      <c r="AZ93" s="15" t="str">
        <f>IFERROR(Kühl_und_Kältemittel[[#This Row],[Wert 
(Zahl)]]*Kühl_und_Kältemittel[[#This Row],[EF Scope 2 HFCs
(kg HFCs/Einheit)]],"")</f>
        <v/>
      </c>
      <c r="BA93" s="15" t="str">
        <f>IFERROR(Kühl_und_Kältemittel[[#This Row],[Wert 
(Zahl)]]*Kühl_und_Kältemittel[[#This Row],[EF Scope 2 PFCs
(kg PFCs/Einheit)]],"")</f>
        <v/>
      </c>
      <c r="BB93" s="15" t="str">
        <f>IFERROR(Kühl_und_Kältemittel[[#This Row],[Wert 
(Zahl)]]*Kühl_und_Kältemittel[[#This Row],[EF Scope 2 SF6
(kg SF6/Einheit)]],"")</f>
        <v/>
      </c>
      <c r="BC93" s="15" t="str">
        <f>IFERROR(Kühl_und_Kältemittel[[#This Row],[Wert 
(Zahl)]]*Kühl_und_Kältemittel[[#This Row],[EF Scope 2 NF3
(kg NF3/Einheit)]],"")</f>
        <v/>
      </c>
      <c r="BD93" s="15" t="str">
        <f>IFERROR(Kühl_und_Kältemittel[[#This Row],[Wert 
(Zahl)]]*Kühl_und_Kältemittel[[#This Row],[EF Scope 2 Nicht-Kyoto-Gase (kg Nicht-Kyoto-Gase/Einheit)]],"")</f>
        <v/>
      </c>
      <c r="BE93" s="10" t="str">
        <f>IF(ISBLANK(Kühl_und_Kältemittel[[#This Row],[Wert 
(Zahl)]]),"",IFERROR(Kühl_und_Kältemittel[[#This Row],[Scope 1 CO2 '[kg CO2']]]*IFERROR(VLOOKUP("CO2",GWP_100[],3,FALSE),0),0))</f>
        <v/>
      </c>
      <c r="BF93" s="10" t="str">
        <f>IF(ISBLANK(Kühl_und_Kältemittel[[#This Row],[Wert 
(Zahl)]]),"",IFERROR(Kühl_und_Kältemittel[[#This Row],[Scope 1 CH4 '[kg CH4']]]*IFERROR(VLOOKUP("CH4",GWP_100[],4,FALSE),0),0))</f>
        <v/>
      </c>
      <c r="BG93" s="10" t="str">
        <f>IF(ISBLANK(Kühl_und_Kältemittel[[#This Row],[Wert 
(Zahl)]]),"",IFERROR(Kühl_und_Kältemittel[[#This Row],[Scope 1 N2O '[kg N2O']]]*IFERROR(VLOOKUP("N2O",GWP_100[],5,FALSE),0),0))</f>
        <v/>
      </c>
      <c r="BH93" s="10" t="str">
        <f>IF(ISBLANK(Kühl_und_Kältemittel[[#This Row],[Wert 
(Zahl)]]),"",IFERROR(Kühl_und_Kältemittel[[#This Row],[Scope 1 HFCs '[kg HFCs']]]*IFERROR(VLOOKUP(Kühl_und_Kältemittel[[#This Row],[Emissionsquelle/Aktivität (Dropdown)]],GWP_100[],6,FALSE),0),0))</f>
        <v/>
      </c>
      <c r="BI93" s="10" t="str">
        <f>IF(ISBLANK(Kühl_und_Kältemittel[[#This Row],[Wert 
(Zahl)]]),"",IFERROR(Kühl_und_Kältemittel[[#This Row],[Scope 1 PFCs '[kg PFCs']]]*IFERROR(VLOOKUP(Kühl_und_Kältemittel[[#This Row],[Emissionsquelle/Aktivität (Dropdown)]],GWP_100[],7,FALSE),0),0))</f>
        <v/>
      </c>
      <c r="BJ93" s="10" t="str">
        <f>IF(ISBLANK(Kühl_und_Kältemittel[[#This Row],[Wert 
(Zahl)]]),"",IFERROR(Kühl_und_Kältemittel[[#This Row],[Scope 1 SF6 '[kg SF6']]]*IFERROR(VLOOKUP("SF6",GWP_100[],8,FALSE),0),0))</f>
        <v/>
      </c>
      <c r="BK93" s="10" t="str">
        <f>IF(ISBLANK(Kühl_und_Kältemittel[[#This Row],[Wert 
(Zahl)]]),"",IFERROR(Kühl_und_Kältemittel[[#This Row],[Scope 1 NF3 '[kg NF3']]]*IFERROR(VLOOKUP("NF3",GWP_100[],9,FALSE),0),0))</f>
        <v/>
      </c>
      <c r="BL93" s="10" t="str">
        <f>IF(ISBLANK(Kühl_und_Kältemittel[[#This Row],[Wert 
(Zahl)]]),"",IFERROR(Kühl_und_Kältemittel[[#This Row],[Scope 1 non-Kyoto '[kg non-Kyoto gas']]]*IFERROR(VLOOKUP(Kühl_und_Kältemittel[[#This Row],[Emissionsquelle/Aktivität (Dropdown)]],GWP_100[],10,FALSE),0),0))</f>
        <v/>
      </c>
      <c r="BM93" s="10" t="str">
        <f>IF(ISBLANK(Kühl_und_Kältemittel[[#This Row],[Wert 
(Zahl)]]),"",IFERROR(Kühl_und_Kältemittel[[#This Row],[Scope 2 CO2 '[kg CO2']]]*IFERROR(VLOOKUP("CO2",GWP_100[],3,FALSE),0),0))</f>
        <v/>
      </c>
      <c r="BN93" s="10" t="str">
        <f>IF(ISBLANK(Kühl_und_Kältemittel[[#This Row],[Wert 
(Zahl)]]),"",IFERROR(Kühl_und_Kältemittel[[#This Row],[Scope 2 CH4 '[kg CH4']]]*IFERROR(VLOOKUP("CH4",GWP_100[],4,FALSE),0),0))</f>
        <v/>
      </c>
      <c r="BO93" s="10" t="str">
        <f>IF(ISBLANK(Kühl_und_Kältemittel[[#This Row],[Wert 
(Zahl)]]),"",IFERROR(Kühl_und_Kältemittel[[#This Row],[Scope 2 N2O '[kg N2O']]]*IFERROR(VLOOKUP("N2O",GWP_100[],5,FALSE),0),0))</f>
        <v/>
      </c>
      <c r="BP93" s="10" t="str">
        <f>IF(ISBLANK(Kühl_und_Kältemittel[[#This Row],[Wert 
(Zahl)]]),"",IFERROR(Kühl_und_Kältemittel[[#This Row],[Scope 2 HFCs '[kg HFCs']]]*IFERROR(VLOOKUP(Kühl_und_Kältemittel[[#This Row],[Emissionsquelle/Aktivität (Dropdown)]],GWP_100[],6,FALSE),0),0))</f>
        <v/>
      </c>
      <c r="BQ93" s="10" t="str">
        <f>IF(ISBLANK(Kühl_und_Kältemittel[[#This Row],[Wert 
(Zahl)]]),"",IFERROR(Kühl_und_Kältemittel[[#This Row],[Scope 2 PFCs '[kg PFCs']]]*IFERROR(VLOOKUP(Kühl_und_Kältemittel[[#This Row],[Emissionsquelle/Aktivität (Dropdown)]],GWP_100[],7,FALSE),0),0))</f>
        <v/>
      </c>
      <c r="BR93" s="10" t="str">
        <f>IF(ISBLANK(Kühl_und_Kältemittel[[#This Row],[Wert 
(Zahl)]]),"",IFERROR(Kühl_und_Kältemittel[[#This Row],[Scope 2 SF6 '[kg SF6']]]*IFERROR(VLOOKUP("SF6",GWP_100[],8,FALSE),0),0))</f>
        <v/>
      </c>
      <c r="BS93" s="10" t="str">
        <f>IF(ISBLANK(Kühl_und_Kältemittel[[#This Row],[Wert 
(Zahl)]]),"",IFERROR(Kühl_und_Kältemittel[[#This Row],[Scope 2 NF3 '[kg NF3']]]*IFERROR(VLOOKUP("NF3",GWP_100[],9,FALSE),0),0))</f>
        <v/>
      </c>
      <c r="BT93" s="10" t="str">
        <f>IF(ISBLANK(Kühl_und_Kältemittel[[#This Row],[Wert 
(Zahl)]]),"",IFERROR(Kühl_und_Kältemittel[[#This Row],[Scope 2 non-Kyoto '[kg non-Kyoto gas']]]*IFERROR(VLOOKUP(Kühl_und_Kältemittel[[#This Row],[Emissionsquelle/Aktivität (Dropdown)]],GWP_100[],10,FALSE),0),0))</f>
        <v/>
      </c>
    </row>
    <row r="94" spans="2:92" s="89" customFormat="1" x14ac:dyDescent="0.35">
      <c r="B94" s="604"/>
      <c r="C94" s="10" t="str">
        <f t="shared" si="2"/>
        <v>Kühl_und_Kältemittel</v>
      </c>
      <c r="D94" s="90"/>
      <c r="E94" s="90"/>
      <c r="F94" s="288"/>
      <c r="G94" s="10" t="str">
        <f>IFERROR(VLOOKUP(Kühl_und_Kältemittel[[#This Row],[Thema_Bezeichung]],EFs_Kühlmittel[],4,FALSE),"")</f>
        <v/>
      </c>
      <c r="H94" s="90"/>
      <c r="I94" s="90"/>
      <c r="J94" s="90"/>
      <c r="K94" s="284" t="str">
        <f>IF(ISBLANK(Kühl_und_Kältemittel[[#This Row],[Wert 
(Zahl)]]),"", SUM(Kühl_und_Kältemittel[[#This Row],[Scope 1 CO2e '[kg CO2e']]:[Scope 3 CO2e '[kg CO2e']]]))</f>
        <v/>
      </c>
      <c r="L94" s="158"/>
      <c r="M94" s="408"/>
      <c r="N94" s="408"/>
      <c r="O94" s="15" t="str">
        <f>IF(ISBLANK(Kühl_und_Kältemittel[[#This Row],[Emissionsquelle/Aktivität (Dropdown)]]),"",CONCATENATE(Kühl_und_Kältemittel[[#This Row],[Sektor_Thema]]," - ",Kühl_und_Kältemittel[[#This Row],[Emissionsquelle/Aktivität (Dropdown)]]))</f>
        <v/>
      </c>
      <c r="P94" s="15"/>
      <c r="Q94" s="15" t="str">
        <f>IFERROR(VLOOKUP(Kühl_und_Kältemittel[[#This Row],[Thema_Bezeichung]],EFs_Kühlmittel[],5,FALSE),"")</f>
        <v/>
      </c>
      <c r="R94" s="15" t="str">
        <f>IFERROR(VLOOKUP(Kühl_und_Kältemittel[[#This Row],[Thema_Bezeichung]],EFs_Kühlmittel[],6,FALSE),"")</f>
        <v/>
      </c>
      <c r="S94" s="15" t="str">
        <f>IFERROR(VLOOKUP(Kühl_und_Kältemittel[[#This Row],[Thema_Bezeichung]],EFs_Kühlmittel[],7,FALSE),"")</f>
        <v/>
      </c>
      <c r="T94" s="15" t="str">
        <f>IFERROR(VLOOKUP(Kühl_und_Kältemittel[[#This Row],[Thema_Bezeichung]],EFs_Kühlmittel[],8,FALSE),"")</f>
        <v/>
      </c>
      <c r="U94" s="15" t="str">
        <f>IFERROR(VLOOKUP(Kühl_und_Kältemittel[[#This Row],[Thema_Bezeichung]],EFs_Kühlmittel[],9,FALSE),"")</f>
        <v/>
      </c>
      <c r="V94" s="15" t="str">
        <f>IFERROR(VLOOKUP(Kühl_und_Kältemittel[[#This Row],[Thema_Bezeichung]],EFs_Kühlmittel[],10,FALSE),"")</f>
        <v/>
      </c>
      <c r="W94" s="15" t="str">
        <f>IFERROR(VLOOKUP(Kühl_und_Kältemittel[[#This Row],[Thema_Bezeichung]],EFs_Kühlmittel[],11,FALSE),"")</f>
        <v/>
      </c>
      <c r="X94" s="15" t="str">
        <f>IFERROR(VLOOKUP(Kühl_und_Kältemittel[[#This Row],[Thema_Bezeichung]],EFs_Kühlmittel[],12,FALSE),"")</f>
        <v/>
      </c>
      <c r="Y94" s="15" t="str">
        <f>IFERROR(VLOOKUP(Kühl_und_Kältemittel[[#This Row],[Thema_Bezeichung]],EFs_Kühlmittel[],13,FALSE),"")</f>
        <v/>
      </c>
      <c r="Z94" s="15" t="str">
        <f>IFERROR(VLOOKUP(Kühl_und_Kältemittel[[#This Row],[Thema_Bezeichung]],EFs_Kühlmittel[],14,FALSE),"")</f>
        <v/>
      </c>
      <c r="AA94" s="15" t="str">
        <f>IFERROR(VLOOKUP(Kühl_und_Kältemittel[[#This Row],[Thema_Bezeichung]],EFs_Kühlmittel[],15,FALSE),"")</f>
        <v/>
      </c>
      <c r="AB94" s="15" t="str">
        <f>IFERROR(VLOOKUP(Kühl_und_Kältemittel[[#This Row],[Thema_Bezeichung]],EFs_Kühlmittel[],16,FALSE),"")</f>
        <v/>
      </c>
      <c r="AC94" s="15" t="str">
        <f>IFERROR(VLOOKUP(Kühl_und_Kältemittel[[#This Row],[Thema_Bezeichung]],EFs_Kühlmittel[],17,FALSE),"")</f>
        <v/>
      </c>
      <c r="AD94" s="15" t="str">
        <f>IFERROR(VLOOKUP(Kühl_und_Kältemittel[[#This Row],[Thema_Bezeichung]],EFs_Kühlmittel[],18,FALSE),"")</f>
        <v/>
      </c>
      <c r="AE94" s="15" t="str">
        <f>IFERROR(VLOOKUP(Kühl_und_Kältemittel[[#This Row],[Thema_Bezeichung]],EFs_Kühlmittel[],19,FALSE),"")</f>
        <v/>
      </c>
      <c r="AF94" s="15" t="str">
        <f>IFERROR(VLOOKUP(Kühl_und_Kältemittel[[#This Row],[Thema_Bezeichung]],EFs_Kühlmittel[],20,FALSE),"")</f>
        <v/>
      </c>
      <c r="AG94" s="15" t="str">
        <f>IFERROR(VLOOKUP(Kühl_und_Kältemittel[[#This Row],[Thema_Bezeichung]],EFs_Kühlmittel[],21,FALSE),"")</f>
        <v/>
      </c>
      <c r="AH94" s="15" t="str">
        <f>IFERROR(VLOOKUP(Kühl_und_Kältemittel[[#This Row],[Thema_Bezeichung]],EFs_Kühlmittel[],22,FALSE),"")</f>
        <v/>
      </c>
      <c r="AI94" s="15" t="str">
        <f>IFERROR(VLOOKUP(Kühl_und_Kältemittel[[#This Row],[Thema_Bezeichung]],EFs_Kühlmittel[],23,FALSE),"")</f>
        <v/>
      </c>
      <c r="AJ94" s="15" t="str">
        <f>IFERROR(VLOOKUP(Kühl_und_Kältemittel[[#This Row],[Thema_Bezeichung]],EFs_Kühlmittel[],24,FALSE),"")</f>
        <v/>
      </c>
      <c r="AK94" s="15" t="str">
        <f>IFERROR(Kühl_und_Kältemittel[[#This Row],[Wert 
(Zahl)]]*Kühl_und_Kältemittel[[#This Row],[EF Scope 1 CO2e
(kg CO2e/Einheit)]],"")</f>
        <v/>
      </c>
      <c r="AL94" s="15" t="str">
        <f>IFERROR(Kühl_und_Kältemittel[[#This Row],[Wert 
(Zahl)]]*Kühl_und_Kältemittel[[#This Row],[EF Scope 2 CO2e
(kg CO2e/Einheit)]],"")</f>
        <v/>
      </c>
      <c r="AM94" s="15" t="str">
        <f>IFERROR(Kühl_und_Kältemittel[[#This Row],[Wert 
(Zahl)]]*Kühl_und_Kältemittel[[#This Row],[EF Scope 3 CO2e
(kg CO2e/Einheit)]],"")</f>
        <v/>
      </c>
      <c r="AN94" s="15" t="str">
        <f>IFERROR(Kühl_und_Kältemittel[[#This Row],[Wert 
(Zahl)]]*Kühl_und_Kältemittel[[#This Row],[EF Scope 1 CO2 biogen
(kg CO2 /Einheit)]],"")</f>
        <v/>
      </c>
      <c r="AO94" s="15" t="str">
        <f>IFERROR(Kühl_und_Kältemittel[[#This Row],[Wert 
(Zahl)]]*Kühl_und_Kältemittel[[#This Row],[EF Scope 1 CO2
(kg CO2/Einheit)]],"")</f>
        <v/>
      </c>
      <c r="AP94" s="15" t="str">
        <f>IFERROR(Kühl_und_Kältemittel[[#This Row],[Wert 
(Zahl)]]*Kühl_und_Kältemittel[[#This Row],[EF Scope 1 CH4
(kg CH4/Einheit)]],"")</f>
        <v/>
      </c>
      <c r="AQ94" s="15" t="str">
        <f>IFERROR(Kühl_und_Kältemittel[[#This Row],[Wert 
(Zahl)]]*Kühl_und_Kältemittel[[#This Row],[EF Scope 1 N2O
(kg N2O/Einheit)]],"")</f>
        <v/>
      </c>
      <c r="AR94" s="15" t="str">
        <f>IFERROR(Kühl_und_Kältemittel[[#This Row],[Wert 
(Zahl)]]*Kühl_und_Kältemittel[[#This Row],[EF Scope 1 HFCs
(kg HFCs/Einheit)]],"")</f>
        <v/>
      </c>
      <c r="AS94" s="15" t="str">
        <f>IFERROR(Kühl_und_Kältemittel[[#This Row],[Wert 
(Zahl)]]*Kühl_und_Kältemittel[[#This Row],[EF Scope 1 PFCs
(kg PFCs/Einheit)]],"")</f>
        <v/>
      </c>
      <c r="AT94" s="15" t="str">
        <f>IFERROR(Kühl_und_Kältemittel[[#This Row],[Wert 
(Zahl)]]*Kühl_und_Kältemittel[[#This Row],[EF Scope 1 SF6
(kg SF6/Einheit)]],"")</f>
        <v/>
      </c>
      <c r="AU94" s="15" t="str">
        <f>IFERROR(Kühl_und_Kältemittel[[#This Row],[Wert 
(Zahl)]]*Kühl_und_Kältemittel[[#This Row],[EF Scope 1 NF3
(kg NF3/Einheit)]],"")</f>
        <v/>
      </c>
      <c r="AV94" s="15" t="str">
        <f>IFERROR(Kühl_und_Kältemittel[[#This Row],[Wert 
(Zahl)]]*Kühl_und_Kältemittel[[#This Row],[EF Scope 1 Nicht-Kyoto-Gase (kg Nicht-Kyoto-Gase/Einheit)]],"")</f>
        <v/>
      </c>
      <c r="AW94" s="15" t="str">
        <f>IFERROR(Kühl_und_Kältemittel[[#This Row],[Wert 
(Zahl)]]*Kühl_und_Kältemittel[[#This Row],[EF Scope 2 CO2
(kg CO2/Einheit)]],"")</f>
        <v/>
      </c>
      <c r="AX94" s="15" t="str">
        <f>IFERROR(Kühl_und_Kältemittel[[#This Row],[Wert 
(Zahl)]]*Kühl_und_Kältemittel[[#This Row],[EF Scope 2 CH4
(kg CH4/Einheit)]],"")</f>
        <v/>
      </c>
      <c r="AY94" s="15" t="str">
        <f>IFERROR(Kühl_und_Kältemittel[[#This Row],[Wert 
(Zahl)]]*Kühl_und_Kältemittel[[#This Row],[EF Scope 2 N2O
(kg N2O/Einheit)]],"")</f>
        <v/>
      </c>
      <c r="AZ94" s="15" t="str">
        <f>IFERROR(Kühl_und_Kältemittel[[#This Row],[Wert 
(Zahl)]]*Kühl_und_Kältemittel[[#This Row],[EF Scope 2 HFCs
(kg HFCs/Einheit)]],"")</f>
        <v/>
      </c>
      <c r="BA94" s="15" t="str">
        <f>IFERROR(Kühl_und_Kältemittel[[#This Row],[Wert 
(Zahl)]]*Kühl_und_Kältemittel[[#This Row],[EF Scope 2 PFCs
(kg PFCs/Einheit)]],"")</f>
        <v/>
      </c>
      <c r="BB94" s="15" t="str">
        <f>IFERROR(Kühl_und_Kältemittel[[#This Row],[Wert 
(Zahl)]]*Kühl_und_Kältemittel[[#This Row],[EF Scope 2 SF6
(kg SF6/Einheit)]],"")</f>
        <v/>
      </c>
      <c r="BC94" s="15" t="str">
        <f>IFERROR(Kühl_und_Kältemittel[[#This Row],[Wert 
(Zahl)]]*Kühl_und_Kältemittel[[#This Row],[EF Scope 2 NF3
(kg NF3/Einheit)]],"")</f>
        <v/>
      </c>
      <c r="BD94" s="15" t="str">
        <f>IFERROR(Kühl_und_Kältemittel[[#This Row],[Wert 
(Zahl)]]*Kühl_und_Kältemittel[[#This Row],[EF Scope 2 Nicht-Kyoto-Gase (kg Nicht-Kyoto-Gase/Einheit)]],"")</f>
        <v/>
      </c>
      <c r="BE94" s="10" t="str">
        <f>IF(ISBLANK(Kühl_und_Kältemittel[[#This Row],[Wert 
(Zahl)]]),"",IFERROR(Kühl_und_Kältemittel[[#This Row],[Scope 1 CO2 '[kg CO2']]]*IFERROR(VLOOKUP("CO2",GWP_100[],3,FALSE),0),0))</f>
        <v/>
      </c>
      <c r="BF94" s="10" t="str">
        <f>IF(ISBLANK(Kühl_und_Kältemittel[[#This Row],[Wert 
(Zahl)]]),"",IFERROR(Kühl_und_Kältemittel[[#This Row],[Scope 1 CH4 '[kg CH4']]]*IFERROR(VLOOKUP("CH4",GWP_100[],4,FALSE),0),0))</f>
        <v/>
      </c>
      <c r="BG94" s="10" t="str">
        <f>IF(ISBLANK(Kühl_und_Kältemittel[[#This Row],[Wert 
(Zahl)]]),"",IFERROR(Kühl_und_Kältemittel[[#This Row],[Scope 1 N2O '[kg N2O']]]*IFERROR(VLOOKUP("N2O",GWP_100[],5,FALSE),0),0))</f>
        <v/>
      </c>
      <c r="BH94" s="10" t="str">
        <f>IF(ISBLANK(Kühl_und_Kältemittel[[#This Row],[Wert 
(Zahl)]]),"",IFERROR(Kühl_und_Kältemittel[[#This Row],[Scope 1 HFCs '[kg HFCs']]]*IFERROR(VLOOKUP(Kühl_und_Kältemittel[[#This Row],[Emissionsquelle/Aktivität (Dropdown)]],GWP_100[],6,FALSE),0),0))</f>
        <v/>
      </c>
      <c r="BI94" s="10" t="str">
        <f>IF(ISBLANK(Kühl_und_Kältemittel[[#This Row],[Wert 
(Zahl)]]),"",IFERROR(Kühl_und_Kältemittel[[#This Row],[Scope 1 PFCs '[kg PFCs']]]*IFERROR(VLOOKUP(Kühl_und_Kältemittel[[#This Row],[Emissionsquelle/Aktivität (Dropdown)]],GWP_100[],7,FALSE),0),0))</f>
        <v/>
      </c>
      <c r="BJ94" s="10" t="str">
        <f>IF(ISBLANK(Kühl_und_Kältemittel[[#This Row],[Wert 
(Zahl)]]),"",IFERROR(Kühl_und_Kältemittel[[#This Row],[Scope 1 SF6 '[kg SF6']]]*IFERROR(VLOOKUP("SF6",GWP_100[],8,FALSE),0),0))</f>
        <v/>
      </c>
      <c r="BK94" s="10" t="str">
        <f>IF(ISBLANK(Kühl_und_Kältemittel[[#This Row],[Wert 
(Zahl)]]),"",IFERROR(Kühl_und_Kältemittel[[#This Row],[Scope 1 NF3 '[kg NF3']]]*IFERROR(VLOOKUP("NF3",GWP_100[],9,FALSE),0),0))</f>
        <v/>
      </c>
      <c r="BL94" s="10" t="str">
        <f>IF(ISBLANK(Kühl_und_Kältemittel[[#This Row],[Wert 
(Zahl)]]),"",IFERROR(Kühl_und_Kältemittel[[#This Row],[Scope 1 non-Kyoto '[kg non-Kyoto gas']]]*IFERROR(VLOOKUP(Kühl_und_Kältemittel[[#This Row],[Emissionsquelle/Aktivität (Dropdown)]],GWP_100[],10,FALSE),0),0))</f>
        <v/>
      </c>
      <c r="BM94" s="10" t="str">
        <f>IF(ISBLANK(Kühl_und_Kältemittel[[#This Row],[Wert 
(Zahl)]]),"",IFERROR(Kühl_und_Kältemittel[[#This Row],[Scope 2 CO2 '[kg CO2']]]*IFERROR(VLOOKUP("CO2",GWP_100[],3,FALSE),0),0))</f>
        <v/>
      </c>
      <c r="BN94" s="10" t="str">
        <f>IF(ISBLANK(Kühl_und_Kältemittel[[#This Row],[Wert 
(Zahl)]]),"",IFERROR(Kühl_und_Kältemittel[[#This Row],[Scope 2 CH4 '[kg CH4']]]*IFERROR(VLOOKUP("CH4",GWP_100[],4,FALSE),0),0))</f>
        <v/>
      </c>
      <c r="BO94" s="10" t="str">
        <f>IF(ISBLANK(Kühl_und_Kältemittel[[#This Row],[Wert 
(Zahl)]]),"",IFERROR(Kühl_und_Kältemittel[[#This Row],[Scope 2 N2O '[kg N2O']]]*IFERROR(VLOOKUP("N2O",GWP_100[],5,FALSE),0),0))</f>
        <v/>
      </c>
      <c r="BP94" s="10" t="str">
        <f>IF(ISBLANK(Kühl_und_Kältemittel[[#This Row],[Wert 
(Zahl)]]),"",IFERROR(Kühl_und_Kältemittel[[#This Row],[Scope 2 HFCs '[kg HFCs']]]*IFERROR(VLOOKUP(Kühl_und_Kältemittel[[#This Row],[Emissionsquelle/Aktivität (Dropdown)]],GWP_100[],6,FALSE),0),0))</f>
        <v/>
      </c>
      <c r="BQ94" s="10" t="str">
        <f>IF(ISBLANK(Kühl_und_Kältemittel[[#This Row],[Wert 
(Zahl)]]),"",IFERROR(Kühl_und_Kältemittel[[#This Row],[Scope 2 PFCs '[kg PFCs']]]*IFERROR(VLOOKUP(Kühl_und_Kältemittel[[#This Row],[Emissionsquelle/Aktivität (Dropdown)]],GWP_100[],7,FALSE),0),0))</f>
        <v/>
      </c>
      <c r="BR94" s="10" t="str">
        <f>IF(ISBLANK(Kühl_und_Kältemittel[[#This Row],[Wert 
(Zahl)]]),"",IFERROR(Kühl_und_Kältemittel[[#This Row],[Scope 2 SF6 '[kg SF6']]]*IFERROR(VLOOKUP("SF6",GWP_100[],8,FALSE),0),0))</f>
        <v/>
      </c>
      <c r="BS94" s="10" t="str">
        <f>IF(ISBLANK(Kühl_und_Kältemittel[[#This Row],[Wert 
(Zahl)]]),"",IFERROR(Kühl_und_Kältemittel[[#This Row],[Scope 2 NF3 '[kg NF3']]]*IFERROR(VLOOKUP("NF3",GWP_100[],9,FALSE),0),0))</f>
        <v/>
      </c>
      <c r="BT94" s="10" t="str">
        <f>IF(ISBLANK(Kühl_und_Kältemittel[[#This Row],[Wert 
(Zahl)]]),"",IFERROR(Kühl_und_Kältemittel[[#This Row],[Scope 2 non-Kyoto '[kg non-Kyoto gas']]]*IFERROR(VLOOKUP(Kühl_und_Kältemittel[[#This Row],[Emissionsquelle/Aktivität (Dropdown)]],GWP_100[],10,FALSE),0),0))</f>
        <v/>
      </c>
    </row>
    <row r="95" spans="2:92" s="89" customFormat="1" x14ac:dyDescent="0.35">
      <c r="B95" s="604"/>
      <c r="C95" s="10" t="str">
        <f t="shared" si="2"/>
        <v>Kühl_und_Kältemittel</v>
      </c>
      <c r="D95" s="90"/>
      <c r="E95" s="90"/>
      <c r="F95" s="288"/>
      <c r="G95" s="10" t="str">
        <f>IFERROR(VLOOKUP(Kühl_und_Kältemittel[[#This Row],[Thema_Bezeichung]],EFs_Kühlmittel[],4,FALSE),"")</f>
        <v/>
      </c>
      <c r="H95" s="90"/>
      <c r="I95" s="90"/>
      <c r="J95" s="90"/>
      <c r="K95" s="284" t="str">
        <f>IF(ISBLANK(Kühl_und_Kältemittel[[#This Row],[Wert 
(Zahl)]]),"", SUM(Kühl_und_Kältemittel[[#This Row],[Scope 1 CO2e '[kg CO2e']]:[Scope 3 CO2e '[kg CO2e']]]))</f>
        <v/>
      </c>
      <c r="L95" s="158"/>
      <c r="M95" s="408"/>
      <c r="N95" s="408"/>
      <c r="O95" s="15" t="str">
        <f>IF(ISBLANK(Kühl_und_Kältemittel[[#This Row],[Emissionsquelle/Aktivität (Dropdown)]]),"",CONCATENATE(Kühl_und_Kältemittel[[#This Row],[Sektor_Thema]]," - ",Kühl_und_Kältemittel[[#This Row],[Emissionsquelle/Aktivität (Dropdown)]]))</f>
        <v/>
      </c>
      <c r="P95" s="15"/>
      <c r="Q95" s="15" t="str">
        <f>IFERROR(VLOOKUP(Kühl_und_Kältemittel[[#This Row],[Thema_Bezeichung]],EFs_Kühlmittel[],5,FALSE),"")</f>
        <v/>
      </c>
      <c r="R95" s="15" t="str">
        <f>IFERROR(VLOOKUP(Kühl_und_Kältemittel[[#This Row],[Thema_Bezeichung]],EFs_Kühlmittel[],6,FALSE),"")</f>
        <v/>
      </c>
      <c r="S95" s="15" t="str">
        <f>IFERROR(VLOOKUP(Kühl_und_Kältemittel[[#This Row],[Thema_Bezeichung]],EFs_Kühlmittel[],7,FALSE),"")</f>
        <v/>
      </c>
      <c r="T95" s="15" t="str">
        <f>IFERROR(VLOOKUP(Kühl_und_Kältemittel[[#This Row],[Thema_Bezeichung]],EFs_Kühlmittel[],8,FALSE),"")</f>
        <v/>
      </c>
      <c r="U95" s="15" t="str">
        <f>IFERROR(VLOOKUP(Kühl_und_Kältemittel[[#This Row],[Thema_Bezeichung]],EFs_Kühlmittel[],9,FALSE),"")</f>
        <v/>
      </c>
      <c r="V95" s="15" t="str">
        <f>IFERROR(VLOOKUP(Kühl_und_Kältemittel[[#This Row],[Thema_Bezeichung]],EFs_Kühlmittel[],10,FALSE),"")</f>
        <v/>
      </c>
      <c r="W95" s="15" t="str">
        <f>IFERROR(VLOOKUP(Kühl_und_Kältemittel[[#This Row],[Thema_Bezeichung]],EFs_Kühlmittel[],11,FALSE),"")</f>
        <v/>
      </c>
      <c r="X95" s="15" t="str">
        <f>IFERROR(VLOOKUP(Kühl_und_Kältemittel[[#This Row],[Thema_Bezeichung]],EFs_Kühlmittel[],12,FALSE),"")</f>
        <v/>
      </c>
      <c r="Y95" s="15" t="str">
        <f>IFERROR(VLOOKUP(Kühl_und_Kältemittel[[#This Row],[Thema_Bezeichung]],EFs_Kühlmittel[],13,FALSE),"")</f>
        <v/>
      </c>
      <c r="Z95" s="15" t="str">
        <f>IFERROR(VLOOKUP(Kühl_und_Kältemittel[[#This Row],[Thema_Bezeichung]],EFs_Kühlmittel[],14,FALSE),"")</f>
        <v/>
      </c>
      <c r="AA95" s="15" t="str">
        <f>IFERROR(VLOOKUP(Kühl_und_Kältemittel[[#This Row],[Thema_Bezeichung]],EFs_Kühlmittel[],15,FALSE),"")</f>
        <v/>
      </c>
      <c r="AB95" s="15" t="str">
        <f>IFERROR(VLOOKUP(Kühl_und_Kältemittel[[#This Row],[Thema_Bezeichung]],EFs_Kühlmittel[],16,FALSE),"")</f>
        <v/>
      </c>
      <c r="AC95" s="15" t="str">
        <f>IFERROR(VLOOKUP(Kühl_und_Kältemittel[[#This Row],[Thema_Bezeichung]],EFs_Kühlmittel[],17,FALSE),"")</f>
        <v/>
      </c>
      <c r="AD95" s="15" t="str">
        <f>IFERROR(VLOOKUP(Kühl_und_Kältemittel[[#This Row],[Thema_Bezeichung]],EFs_Kühlmittel[],18,FALSE),"")</f>
        <v/>
      </c>
      <c r="AE95" s="15" t="str">
        <f>IFERROR(VLOOKUP(Kühl_und_Kältemittel[[#This Row],[Thema_Bezeichung]],EFs_Kühlmittel[],19,FALSE),"")</f>
        <v/>
      </c>
      <c r="AF95" s="15" t="str">
        <f>IFERROR(VLOOKUP(Kühl_und_Kältemittel[[#This Row],[Thema_Bezeichung]],EFs_Kühlmittel[],20,FALSE),"")</f>
        <v/>
      </c>
      <c r="AG95" s="15" t="str">
        <f>IFERROR(VLOOKUP(Kühl_und_Kältemittel[[#This Row],[Thema_Bezeichung]],EFs_Kühlmittel[],21,FALSE),"")</f>
        <v/>
      </c>
      <c r="AH95" s="15" t="str">
        <f>IFERROR(VLOOKUP(Kühl_und_Kältemittel[[#This Row],[Thema_Bezeichung]],EFs_Kühlmittel[],22,FALSE),"")</f>
        <v/>
      </c>
      <c r="AI95" s="15" t="str">
        <f>IFERROR(VLOOKUP(Kühl_und_Kältemittel[[#This Row],[Thema_Bezeichung]],EFs_Kühlmittel[],23,FALSE),"")</f>
        <v/>
      </c>
      <c r="AJ95" s="15" t="str">
        <f>IFERROR(VLOOKUP(Kühl_und_Kältemittel[[#This Row],[Thema_Bezeichung]],EFs_Kühlmittel[],24,FALSE),"")</f>
        <v/>
      </c>
      <c r="AK95" s="15" t="str">
        <f>IFERROR(Kühl_und_Kältemittel[[#This Row],[Wert 
(Zahl)]]*Kühl_und_Kältemittel[[#This Row],[EF Scope 1 CO2e
(kg CO2e/Einheit)]],"")</f>
        <v/>
      </c>
      <c r="AL95" s="15" t="str">
        <f>IFERROR(Kühl_und_Kältemittel[[#This Row],[Wert 
(Zahl)]]*Kühl_und_Kältemittel[[#This Row],[EF Scope 2 CO2e
(kg CO2e/Einheit)]],"")</f>
        <v/>
      </c>
      <c r="AM95" s="15" t="str">
        <f>IFERROR(Kühl_und_Kältemittel[[#This Row],[Wert 
(Zahl)]]*Kühl_und_Kältemittel[[#This Row],[EF Scope 3 CO2e
(kg CO2e/Einheit)]],"")</f>
        <v/>
      </c>
      <c r="AN95" s="15" t="str">
        <f>IFERROR(Kühl_und_Kältemittel[[#This Row],[Wert 
(Zahl)]]*Kühl_und_Kältemittel[[#This Row],[EF Scope 1 CO2 biogen
(kg CO2 /Einheit)]],"")</f>
        <v/>
      </c>
      <c r="AO95" s="15" t="str">
        <f>IFERROR(Kühl_und_Kältemittel[[#This Row],[Wert 
(Zahl)]]*Kühl_und_Kältemittel[[#This Row],[EF Scope 1 CO2
(kg CO2/Einheit)]],"")</f>
        <v/>
      </c>
      <c r="AP95" s="15" t="str">
        <f>IFERROR(Kühl_und_Kältemittel[[#This Row],[Wert 
(Zahl)]]*Kühl_und_Kältemittel[[#This Row],[EF Scope 1 CH4
(kg CH4/Einheit)]],"")</f>
        <v/>
      </c>
      <c r="AQ95" s="15" t="str">
        <f>IFERROR(Kühl_und_Kältemittel[[#This Row],[Wert 
(Zahl)]]*Kühl_und_Kältemittel[[#This Row],[EF Scope 1 N2O
(kg N2O/Einheit)]],"")</f>
        <v/>
      </c>
      <c r="AR95" s="15" t="str">
        <f>IFERROR(Kühl_und_Kältemittel[[#This Row],[Wert 
(Zahl)]]*Kühl_und_Kältemittel[[#This Row],[EF Scope 1 HFCs
(kg HFCs/Einheit)]],"")</f>
        <v/>
      </c>
      <c r="AS95" s="15" t="str">
        <f>IFERROR(Kühl_und_Kältemittel[[#This Row],[Wert 
(Zahl)]]*Kühl_und_Kältemittel[[#This Row],[EF Scope 1 PFCs
(kg PFCs/Einheit)]],"")</f>
        <v/>
      </c>
      <c r="AT95" s="15" t="str">
        <f>IFERROR(Kühl_und_Kältemittel[[#This Row],[Wert 
(Zahl)]]*Kühl_und_Kältemittel[[#This Row],[EF Scope 1 SF6
(kg SF6/Einheit)]],"")</f>
        <v/>
      </c>
      <c r="AU95" s="15" t="str">
        <f>IFERROR(Kühl_und_Kältemittel[[#This Row],[Wert 
(Zahl)]]*Kühl_und_Kältemittel[[#This Row],[EF Scope 1 NF3
(kg NF3/Einheit)]],"")</f>
        <v/>
      </c>
      <c r="AV95" s="15" t="str">
        <f>IFERROR(Kühl_und_Kältemittel[[#This Row],[Wert 
(Zahl)]]*Kühl_und_Kältemittel[[#This Row],[EF Scope 1 Nicht-Kyoto-Gase (kg Nicht-Kyoto-Gase/Einheit)]],"")</f>
        <v/>
      </c>
      <c r="AW95" s="15" t="str">
        <f>IFERROR(Kühl_und_Kältemittel[[#This Row],[Wert 
(Zahl)]]*Kühl_und_Kältemittel[[#This Row],[EF Scope 2 CO2
(kg CO2/Einheit)]],"")</f>
        <v/>
      </c>
      <c r="AX95" s="15" t="str">
        <f>IFERROR(Kühl_und_Kältemittel[[#This Row],[Wert 
(Zahl)]]*Kühl_und_Kältemittel[[#This Row],[EF Scope 2 CH4
(kg CH4/Einheit)]],"")</f>
        <v/>
      </c>
      <c r="AY95" s="15" t="str">
        <f>IFERROR(Kühl_und_Kältemittel[[#This Row],[Wert 
(Zahl)]]*Kühl_und_Kältemittel[[#This Row],[EF Scope 2 N2O
(kg N2O/Einheit)]],"")</f>
        <v/>
      </c>
      <c r="AZ95" s="15" t="str">
        <f>IFERROR(Kühl_und_Kältemittel[[#This Row],[Wert 
(Zahl)]]*Kühl_und_Kältemittel[[#This Row],[EF Scope 2 HFCs
(kg HFCs/Einheit)]],"")</f>
        <v/>
      </c>
      <c r="BA95" s="15" t="str">
        <f>IFERROR(Kühl_und_Kältemittel[[#This Row],[Wert 
(Zahl)]]*Kühl_und_Kältemittel[[#This Row],[EF Scope 2 PFCs
(kg PFCs/Einheit)]],"")</f>
        <v/>
      </c>
      <c r="BB95" s="15" t="str">
        <f>IFERROR(Kühl_und_Kältemittel[[#This Row],[Wert 
(Zahl)]]*Kühl_und_Kältemittel[[#This Row],[EF Scope 2 SF6
(kg SF6/Einheit)]],"")</f>
        <v/>
      </c>
      <c r="BC95" s="15" t="str">
        <f>IFERROR(Kühl_und_Kältemittel[[#This Row],[Wert 
(Zahl)]]*Kühl_und_Kältemittel[[#This Row],[EF Scope 2 NF3
(kg NF3/Einheit)]],"")</f>
        <v/>
      </c>
      <c r="BD95" s="15" t="str">
        <f>IFERROR(Kühl_und_Kältemittel[[#This Row],[Wert 
(Zahl)]]*Kühl_und_Kältemittel[[#This Row],[EF Scope 2 Nicht-Kyoto-Gase (kg Nicht-Kyoto-Gase/Einheit)]],"")</f>
        <v/>
      </c>
      <c r="BE95" s="10" t="str">
        <f>IF(ISBLANK(Kühl_und_Kältemittel[[#This Row],[Wert 
(Zahl)]]),"",IFERROR(Kühl_und_Kältemittel[[#This Row],[Scope 1 CO2 '[kg CO2']]]*IFERROR(VLOOKUP("CO2",GWP_100[],3,FALSE),0),0))</f>
        <v/>
      </c>
      <c r="BF95" s="10" t="str">
        <f>IF(ISBLANK(Kühl_und_Kältemittel[[#This Row],[Wert 
(Zahl)]]),"",IFERROR(Kühl_und_Kältemittel[[#This Row],[Scope 1 CH4 '[kg CH4']]]*IFERROR(VLOOKUP("CH4",GWP_100[],4,FALSE),0),0))</f>
        <v/>
      </c>
      <c r="BG95" s="10" t="str">
        <f>IF(ISBLANK(Kühl_und_Kältemittel[[#This Row],[Wert 
(Zahl)]]),"",IFERROR(Kühl_und_Kältemittel[[#This Row],[Scope 1 N2O '[kg N2O']]]*IFERROR(VLOOKUP("N2O",GWP_100[],5,FALSE),0),0))</f>
        <v/>
      </c>
      <c r="BH95" s="10" t="str">
        <f>IF(ISBLANK(Kühl_und_Kältemittel[[#This Row],[Wert 
(Zahl)]]),"",IFERROR(Kühl_und_Kältemittel[[#This Row],[Scope 1 HFCs '[kg HFCs']]]*IFERROR(VLOOKUP(Kühl_und_Kältemittel[[#This Row],[Emissionsquelle/Aktivität (Dropdown)]],GWP_100[],6,FALSE),0),0))</f>
        <v/>
      </c>
      <c r="BI95" s="10" t="str">
        <f>IF(ISBLANK(Kühl_und_Kältemittel[[#This Row],[Wert 
(Zahl)]]),"",IFERROR(Kühl_und_Kältemittel[[#This Row],[Scope 1 PFCs '[kg PFCs']]]*IFERROR(VLOOKUP(Kühl_und_Kältemittel[[#This Row],[Emissionsquelle/Aktivität (Dropdown)]],GWP_100[],7,FALSE),0),0))</f>
        <v/>
      </c>
      <c r="BJ95" s="10" t="str">
        <f>IF(ISBLANK(Kühl_und_Kältemittel[[#This Row],[Wert 
(Zahl)]]),"",IFERROR(Kühl_und_Kältemittel[[#This Row],[Scope 1 SF6 '[kg SF6']]]*IFERROR(VLOOKUP("SF6",GWP_100[],8,FALSE),0),0))</f>
        <v/>
      </c>
      <c r="BK95" s="10" t="str">
        <f>IF(ISBLANK(Kühl_und_Kältemittel[[#This Row],[Wert 
(Zahl)]]),"",IFERROR(Kühl_und_Kältemittel[[#This Row],[Scope 1 NF3 '[kg NF3']]]*IFERROR(VLOOKUP("NF3",GWP_100[],9,FALSE),0),0))</f>
        <v/>
      </c>
      <c r="BL95" s="10" t="str">
        <f>IF(ISBLANK(Kühl_und_Kältemittel[[#This Row],[Wert 
(Zahl)]]),"",IFERROR(Kühl_und_Kältemittel[[#This Row],[Scope 1 non-Kyoto '[kg non-Kyoto gas']]]*IFERROR(VLOOKUP(Kühl_und_Kältemittel[[#This Row],[Emissionsquelle/Aktivität (Dropdown)]],GWP_100[],10,FALSE),0),0))</f>
        <v/>
      </c>
      <c r="BM95" s="10" t="str">
        <f>IF(ISBLANK(Kühl_und_Kältemittel[[#This Row],[Wert 
(Zahl)]]),"",IFERROR(Kühl_und_Kältemittel[[#This Row],[Scope 2 CO2 '[kg CO2']]]*IFERROR(VLOOKUP("CO2",GWP_100[],3,FALSE),0),0))</f>
        <v/>
      </c>
      <c r="BN95" s="10" t="str">
        <f>IF(ISBLANK(Kühl_und_Kältemittel[[#This Row],[Wert 
(Zahl)]]),"",IFERROR(Kühl_und_Kältemittel[[#This Row],[Scope 2 CH4 '[kg CH4']]]*IFERROR(VLOOKUP("CH4",GWP_100[],4,FALSE),0),0))</f>
        <v/>
      </c>
      <c r="BO95" s="10" t="str">
        <f>IF(ISBLANK(Kühl_und_Kältemittel[[#This Row],[Wert 
(Zahl)]]),"",IFERROR(Kühl_und_Kältemittel[[#This Row],[Scope 2 N2O '[kg N2O']]]*IFERROR(VLOOKUP("N2O",GWP_100[],5,FALSE),0),0))</f>
        <v/>
      </c>
      <c r="BP95" s="10" t="str">
        <f>IF(ISBLANK(Kühl_und_Kältemittel[[#This Row],[Wert 
(Zahl)]]),"",IFERROR(Kühl_und_Kältemittel[[#This Row],[Scope 2 HFCs '[kg HFCs']]]*IFERROR(VLOOKUP(Kühl_und_Kältemittel[[#This Row],[Emissionsquelle/Aktivität (Dropdown)]],GWP_100[],6,FALSE),0),0))</f>
        <v/>
      </c>
      <c r="BQ95" s="10" t="str">
        <f>IF(ISBLANK(Kühl_und_Kältemittel[[#This Row],[Wert 
(Zahl)]]),"",IFERROR(Kühl_und_Kältemittel[[#This Row],[Scope 2 PFCs '[kg PFCs']]]*IFERROR(VLOOKUP(Kühl_und_Kältemittel[[#This Row],[Emissionsquelle/Aktivität (Dropdown)]],GWP_100[],7,FALSE),0),0))</f>
        <v/>
      </c>
      <c r="BR95" s="10" t="str">
        <f>IF(ISBLANK(Kühl_und_Kältemittel[[#This Row],[Wert 
(Zahl)]]),"",IFERROR(Kühl_und_Kältemittel[[#This Row],[Scope 2 SF6 '[kg SF6']]]*IFERROR(VLOOKUP("SF6",GWP_100[],8,FALSE),0),0))</f>
        <v/>
      </c>
      <c r="BS95" s="10" t="str">
        <f>IF(ISBLANK(Kühl_und_Kältemittel[[#This Row],[Wert 
(Zahl)]]),"",IFERROR(Kühl_und_Kältemittel[[#This Row],[Scope 2 NF3 '[kg NF3']]]*IFERROR(VLOOKUP("NF3",GWP_100[],9,FALSE),0),0))</f>
        <v/>
      </c>
      <c r="BT95" s="10" t="str">
        <f>IF(ISBLANK(Kühl_und_Kältemittel[[#This Row],[Wert 
(Zahl)]]),"",IFERROR(Kühl_und_Kältemittel[[#This Row],[Scope 2 non-Kyoto '[kg non-Kyoto gas']]]*IFERROR(VLOOKUP(Kühl_und_Kältemittel[[#This Row],[Emissionsquelle/Aktivität (Dropdown)]],GWP_100[],10,FALSE),0),0))</f>
        <v/>
      </c>
    </row>
    <row r="96" spans="2:92" s="89" customFormat="1" x14ac:dyDescent="0.35">
      <c r="B96" s="604"/>
      <c r="C96" s="10" t="str">
        <f t="shared" si="2"/>
        <v>Kühl_und_Kältemittel</v>
      </c>
      <c r="D96" s="90"/>
      <c r="E96" s="90"/>
      <c r="F96" s="288"/>
      <c r="G96" s="10" t="str">
        <f>IFERROR(VLOOKUP(Kühl_und_Kältemittel[[#This Row],[Thema_Bezeichung]],EFs_Kühlmittel[],4,FALSE),"")</f>
        <v/>
      </c>
      <c r="H96" s="90"/>
      <c r="I96" s="90"/>
      <c r="J96" s="90"/>
      <c r="K96" s="284" t="str">
        <f>IF(ISBLANK(Kühl_und_Kältemittel[[#This Row],[Wert 
(Zahl)]]),"", SUM(Kühl_und_Kältemittel[[#This Row],[Scope 1 CO2e '[kg CO2e']]:[Scope 3 CO2e '[kg CO2e']]]))</f>
        <v/>
      </c>
      <c r="L96" s="158"/>
      <c r="M96" s="408"/>
      <c r="N96" s="408"/>
      <c r="O96" s="15" t="str">
        <f>IF(ISBLANK(Kühl_und_Kältemittel[[#This Row],[Emissionsquelle/Aktivität (Dropdown)]]),"",CONCATENATE(Kühl_und_Kältemittel[[#This Row],[Sektor_Thema]]," - ",Kühl_und_Kältemittel[[#This Row],[Emissionsquelle/Aktivität (Dropdown)]]))</f>
        <v/>
      </c>
      <c r="P96" s="15"/>
      <c r="Q96" s="15" t="str">
        <f>IFERROR(VLOOKUP(Kühl_und_Kältemittel[[#This Row],[Thema_Bezeichung]],EFs_Kühlmittel[],5,FALSE),"")</f>
        <v/>
      </c>
      <c r="R96" s="15" t="str">
        <f>IFERROR(VLOOKUP(Kühl_und_Kältemittel[[#This Row],[Thema_Bezeichung]],EFs_Kühlmittel[],6,FALSE),"")</f>
        <v/>
      </c>
      <c r="S96" s="15" t="str">
        <f>IFERROR(VLOOKUP(Kühl_und_Kältemittel[[#This Row],[Thema_Bezeichung]],EFs_Kühlmittel[],7,FALSE),"")</f>
        <v/>
      </c>
      <c r="T96" s="15" t="str">
        <f>IFERROR(VLOOKUP(Kühl_und_Kältemittel[[#This Row],[Thema_Bezeichung]],EFs_Kühlmittel[],8,FALSE),"")</f>
        <v/>
      </c>
      <c r="U96" s="15" t="str">
        <f>IFERROR(VLOOKUP(Kühl_und_Kältemittel[[#This Row],[Thema_Bezeichung]],EFs_Kühlmittel[],9,FALSE),"")</f>
        <v/>
      </c>
      <c r="V96" s="15" t="str">
        <f>IFERROR(VLOOKUP(Kühl_und_Kältemittel[[#This Row],[Thema_Bezeichung]],EFs_Kühlmittel[],10,FALSE),"")</f>
        <v/>
      </c>
      <c r="W96" s="15" t="str">
        <f>IFERROR(VLOOKUP(Kühl_und_Kältemittel[[#This Row],[Thema_Bezeichung]],EFs_Kühlmittel[],11,FALSE),"")</f>
        <v/>
      </c>
      <c r="X96" s="15" t="str">
        <f>IFERROR(VLOOKUP(Kühl_und_Kältemittel[[#This Row],[Thema_Bezeichung]],EFs_Kühlmittel[],12,FALSE),"")</f>
        <v/>
      </c>
      <c r="Y96" s="15" t="str">
        <f>IFERROR(VLOOKUP(Kühl_und_Kältemittel[[#This Row],[Thema_Bezeichung]],EFs_Kühlmittel[],13,FALSE),"")</f>
        <v/>
      </c>
      <c r="Z96" s="15" t="str">
        <f>IFERROR(VLOOKUP(Kühl_und_Kältemittel[[#This Row],[Thema_Bezeichung]],EFs_Kühlmittel[],14,FALSE),"")</f>
        <v/>
      </c>
      <c r="AA96" s="15" t="str">
        <f>IFERROR(VLOOKUP(Kühl_und_Kältemittel[[#This Row],[Thema_Bezeichung]],EFs_Kühlmittel[],15,FALSE),"")</f>
        <v/>
      </c>
      <c r="AB96" s="15" t="str">
        <f>IFERROR(VLOOKUP(Kühl_und_Kältemittel[[#This Row],[Thema_Bezeichung]],EFs_Kühlmittel[],16,FALSE),"")</f>
        <v/>
      </c>
      <c r="AC96" s="15" t="str">
        <f>IFERROR(VLOOKUP(Kühl_und_Kältemittel[[#This Row],[Thema_Bezeichung]],EFs_Kühlmittel[],17,FALSE),"")</f>
        <v/>
      </c>
      <c r="AD96" s="15" t="str">
        <f>IFERROR(VLOOKUP(Kühl_und_Kältemittel[[#This Row],[Thema_Bezeichung]],EFs_Kühlmittel[],18,FALSE),"")</f>
        <v/>
      </c>
      <c r="AE96" s="15" t="str">
        <f>IFERROR(VLOOKUP(Kühl_und_Kältemittel[[#This Row],[Thema_Bezeichung]],EFs_Kühlmittel[],19,FALSE),"")</f>
        <v/>
      </c>
      <c r="AF96" s="15" t="str">
        <f>IFERROR(VLOOKUP(Kühl_und_Kältemittel[[#This Row],[Thema_Bezeichung]],EFs_Kühlmittel[],20,FALSE),"")</f>
        <v/>
      </c>
      <c r="AG96" s="15" t="str">
        <f>IFERROR(VLOOKUP(Kühl_und_Kältemittel[[#This Row],[Thema_Bezeichung]],EFs_Kühlmittel[],21,FALSE),"")</f>
        <v/>
      </c>
      <c r="AH96" s="15" t="str">
        <f>IFERROR(VLOOKUP(Kühl_und_Kältemittel[[#This Row],[Thema_Bezeichung]],EFs_Kühlmittel[],22,FALSE),"")</f>
        <v/>
      </c>
      <c r="AI96" s="15" t="str">
        <f>IFERROR(VLOOKUP(Kühl_und_Kältemittel[[#This Row],[Thema_Bezeichung]],EFs_Kühlmittel[],23,FALSE),"")</f>
        <v/>
      </c>
      <c r="AJ96" s="15" t="str">
        <f>IFERROR(VLOOKUP(Kühl_und_Kältemittel[[#This Row],[Thema_Bezeichung]],EFs_Kühlmittel[],24,FALSE),"")</f>
        <v/>
      </c>
      <c r="AK96" s="15" t="str">
        <f>IFERROR(Kühl_und_Kältemittel[[#This Row],[Wert 
(Zahl)]]*Kühl_und_Kältemittel[[#This Row],[EF Scope 1 CO2e
(kg CO2e/Einheit)]],"")</f>
        <v/>
      </c>
      <c r="AL96" s="15" t="str">
        <f>IFERROR(Kühl_und_Kältemittel[[#This Row],[Wert 
(Zahl)]]*Kühl_und_Kältemittel[[#This Row],[EF Scope 2 CO2e
(kg CO2e/Einheit)]],"")</f>
        <v/>
      </c>
      <c r="AM96" s="15" t="str">
        <f>IFERROR(Kühl_und_Kältemittel[[#This Row],[Wert 
(Zahl)]]*Kühl_und_Kältemittel[[#This Row],[EF Scope 3 CO2e
(kg CO2e/Einheit)]],"")</f>
        <v/>
      </c>
      <c r="AN96" s="15" t="str">
        <f>IFERROR(Kühl_und_Kältemittel[[#This Row],[Wert 
(Zahl)]]*Kühl_und_Kältemittel[[#This Row],[EF Scope 1 CO2 biogen
(kg CO2 /Einheit)]],"")</f>
        <v/>
      </c>
      <c r="AO96" s="15" t="str">
        <f>IFERROR(Kühl_und_Kältemittel[[#This Row],[Wert 
(Zahl)]]*Kühl_und_Kältemittel[[#This Row],[EF Scope 1 CO2
(kg CO2/Einheit)]],"")</f>
        <v/>
      </c>
      <c r="AP96" s="15" t="str">
        <f>IFERROR(Kühl_und_Kältemittel[[#This Row],[Wert 
(Zahl)]]*Kühl_und_Kältemittel[[#This Row],[EF Scope 1 CH4
(kg CH4/Einheit)]],"")</f>
        <v/>
      </c>
      <c r="AQ96" s="15" t="str">
        <f>IFERROR(Kühl_und_Kältemittel[[#This Row],[Wert 
(Zahl)]]*Kühl_und_Kältemittel[[#This Row],[EF Scope 1 N2O
(kg N2O/Einheit)]],"")</f>
        <v/>
      </c>
      <c r="AR96" s="15" t="str">
        <f>IFERROR(Kühl_und_Kältemittel[[#This Row],[Wert 
(Zahl)]]*Kühl_und_Kältemittel[[#This Row],[EF Scope 1 HFCs
(kg HFCs/Einheit)]],"")</f>
        <v/>
      </c>
      <c r="AS96" s="15" t="str">
        <f>IFERROR(Kühl_und_Kältemittel[[#This Row],[Wert 
(Zahl)]]*Kühl_und_Kältemittel[[#This Row],[EF Scope 1 PFCs
(kg PFCs/Einheit)]],"")</f>
        <v/>
      </c>
      <c r="AT96" s="15" t="str">
        <f>IFERROR(Kühl_und_Kältemittel[[#This Row],[Wert 
(Zahl)]]*Kühl_und_Kältemittel[[#This Row],[EF Scope 1 SF6
(kg SF6/Einheit)]],"")</f>
        <v/>
      </c>
      <c r="AU96" s="15" t="str">
        <f>IFERROR(Kühl_und_Kältemittel[[#This Row],[Wert 
(Zahl)]]*Kühl_und_Kältemittel[[#This Row],[EF Scope 1 NF3
(kg NF3/Einheit)]],"")</f>
        <v/>
      </c>
      <c r="AV96" s="15" t="str">
        <f>IFERROR(Kühl_und_Kältemittel[[#This Row],[Wert 
(Zahl)]]*Kühl_und_Kältemittel[[#This Row],[EF Scope 1 Nicht-Kyoto-Gase (kg Nicht-Kyoto-Gase/Einheit)]],"")</f>
        <v/>
      </c>
      <c r="AW96" s="15" t="str">
        <f>IFERROR(Kühl_und_Kältemittel[[#This Row],[Wert 
(Zahl)]]*Kühl_und_Kältemittel[[#This Row],[EF Scope 2 CO2
(kg CO2/Einheit)]],"")</f>
        <v/>
      </c>
      <c r="AX96" s="15" t="str">
        <f>IFERROR(Kühl_und_Kältemittel[[#This Row],[Wert 
(Zahl)]]*Kühl_und_Kältemittel[[#This Row],[EF Scope 2 CH4
(kg CH4/Einheit)]],"")</f>
        <v/>
      </c>
      <c r="AY96" s="15" t="str">
        <f>IFERROR(Kühl_und_Kältemittel[[#This Row],[Wert 
(Zahl)]]*Kühl_und_Kältemittel[[#This Row],[EF Scope 2 N2O
(kg N2O/Einheit)]],"")</f>
        <v/>
      </c>
      <c r="AZ96" s="15" t="str">
        <f>IFERROR(Kühl_und_Kältemittel[[#This Row],[Wert 
(Zahl)]]*Kühl_und_Kältemittel[[#This Row],[EF Scope 2 HFCs
(kg HFCs/Einheit)]],"")</f>
        <v/>
      </c>
      <c r="BA96" s="15" t="str">
        <f>IFERROR(Kühl_und_Kältemittel[[#This Row],[Wert 
(Zahl)]]*Kühl_und_Kältemittel[[#This Row],[EF Scope 2 PFCs
(kg PFCs/Einheit)]],"")</f>
        <v/>
      </c>
      <c r="BB96" s="15" t="str">
        <f>IFERROR(Kühl_und_Kältemittel[[#This Row],[Wert 
(Zahl)]]*Kühl_und_Kältemittel[[#This Row],[EF Scope 2 SF6
(kg SF6/Einheit)]],"")</f>
        <v/>
      </c>
      <c r="BC96" s="15" t="str">
        <f>IFERROR(Kühl_und_Kältemittel[[#This Row],[Wert 
(Zahl)]]*Kühl_und_Kältemittel[[#This Row],[EF Scope 2 NF3
(kg NF3/Einheit)]],"")</f>
        <v/>
      </c>
      <c r="BD96" s="15" t="str">
        <f>IFERROR(Kühl_und_Kältemittel[[#This Row],[Wert 
(Zahl)]]*Kühl_und_Kältemittel[[#This Row],[EF Scope 2 Nicht-Kyoto-Gase (kg Nicht-Kyoto-Gase/Einheit)]],"")</f>
        <v/>
      </c>
      <c r="BE96" s="10" t="str">
        <f>IF(ISBLANK(Kühl_und_Kältemittel[[#This Row],[Wert 
(Zahl)]]),"",IFERROR(Kühl_und_Kältemittel[[#This Row],[Scope 1 CO2 '[kg CO2']]]*IFERROR(VLOOKUP("CO2",GWP_100[],3,FALSE),0),0))</f>
        <v/>
      </c>
      <c r="BF96" s="10" t="str">
        <f>IF(ISBLANK(Kühl_und_Kältemittel[[#This Row],[Wert 
(Zahl)]]),"",IFERROR(Kühl_und_Kältemittel[[#This Row],[Scope 1 CH4 '[kg CH4']]]*IFERROR(VLOOKUP("CH4",GWP_100[],4,FALSE),0),0))</f>
        <v/>
      </c>
      <c r="BG96" s="10" t="str">
        <f>IF(ISBLANK(Kühl_und_Kältemittel[[#This Row],[Wert 
(Zahl)]]),"",IFERROR(Kühl_und_Kältemittel[[#This Row],[Scope 1 N2O '[kg N2O']]]*IFERROR(VLOOKUP("N2O",GWP_100[],5,FALSE),0),0))</f>
        <v/>
      </c>
      <c r="BH96" s="10" t="str">
        <f>IF(ISBLANK(Kühl_und_Kältemittel[[#This Row],[Wert 
(Zahl)]]),"",IFERROR(Kühl_und_Kältemittel[[#This Row],[Scope 1 HFCs '[kg HFCs']]]*IFERROR(VLOOKUP(Kühl_und_Kältemittel[[#This Row],[Emissionsquelle/Aktivität (Dropdown)]],GWP_100[],6,FALSE),0),0))</f>
        <v/>
      </c>
      <c r="BI96" s="10" t="str">
        <f>IF(ISBLANK(Kühl_und_Kältemittel[[#This Row],[Wert 
(Zahl)]]),"",IFERROR(Kühl_und_Kältemittel[[#This Row],[Scope 1 PFCs '[kg PFCs']]]*IFERROR(VLOOKUP(Kühl_und_Kältemittel[[#This Row],[Emissionsquelle/Aktivität (Dropdown)]],GWP_100[],7,FALSE),0),0))</f>
        <v/>
      </c>
      <c r="BJ96" s="10" t="str">
        <f>IF(ISBLANK(Kühl_und_Kältemittel[[#This Row],[Wert 
(Zahl)]]),"",IFERROR(Kühl_und_Kältemittel[[#This Row],[Scope 1 SF6 '[kg SF6']]]*IFERROR(VLOOKUP("SF6",GWP_100[],8,FALSE),0),0))</f>
        <v/>
      </c>
      <c r="BK96" s="10" t="str">
        <f>IF(ISBLANK(Kühl_und_Kältemittel[[#This Row],[Wert 
(Zahl)]]),"",IFERROR(Kühl_und_Kältemittel[[#This Row],[Scope 1 NF3 '[kg NF3']]]*IFERROR(VLOOKUP("NF3",GWP_100[],9,FALSE),0),0))</f>
        <v/>
      </c>
      <c r="BL96" s="10" t="str">
        <f>IF(ISBLANK(Kühl_und_Kältemittel[[#This Row],[Wert 
(Zahl)]]),"",IFERROR(Kühl_und_Kältemittel[[#This Row],[Scope 1 non-Kyoto '[kg non-Kyoto gas']]]*IFERROR(VLOOKUP(Kühl_und_Kältemittel[[#This Row],[Emissionsquelle/Aktivität (Dropdown)]],GWP_100[],10,FALSE),0),0))</f>
        <v/>
      </c>
      <c r="BM96" s="10" t="str">
        <f>IF(ISBLANK(Kühl_und_Kältemittel[[#This Row],[Wert 
(Zahl)]]),"",IFERROR(Kühl_und_Kältemittel[[#This Row],[Scope 2 CO2 '[kg CO2']]]*IFERROR(VLOOKUP("CO2",GWP_100[],3,FALSE),0),0))</f>
        <v/>
      </c>
      <c r="BN96" s="10" t="str">
        <f>IF(ISBLANK(Kühl_und_Kältemittel[[#This Row],[Wert 
(Zahl)]]),"",IFERROR(Kühl_und_Kältemittel[[#This Row],[Scope 2 CH4 '[kg CH4']]]*IFERROR(VLOOKUP("CH4",GWP_100[],4,FALSE),0),0))</f>
        <v/>
      </c>
      <c r="BO96" s="10" t="str">
        <f>IF(ISBLANK(Kühl_und_Kältemittel[[#This Row],[Wert 
(Zahl)]]),"",IFERROR(Kühl_und_Kältemittel[[#This Row],[Scope 2 N2O '[kg N2O']]]*IFERROR(VLOOKUP("N2O",GWP_100[],5,FALSE),0),0))</f>
        <v/>
      </c>
      <c r="BP96" s="10" t="str">
        <f>IF(ISBLANK(Kühl_und_Kältemittel[[#This Row],[Wert 
(Zahl)]]),"",IFERROR(Kühl_und_Kältemittel[[#This Row],[Scope 2 HFCs '[kg HFCs']]]*IFERROR(VLOOKUP(Kühl_und_Kältemittel[[#This Row],[Emissionsquelle/Aktivität (Dropdown)]],GWP_100[],6,FALSE),0),0))</f>
        <v/>
      </c>
      <c r="BQ96" s="10" t="str">
        <f>IF(ISBLANK(Kühl_und_Kältemittel[[#This Row],[Wert 
(Zahl)]]),"",IFERROR(Kühl_und_Kältemittel[[#This Row],[Scope 2 PFCs '[kg PFCs']]]*IFERROR(VLOOKUP(Kühl_und_Kältemittel[[#This Row],[Emissionsquelle/Aktivität (Dropdown)]],GWP_100[],7,FALSE),0),0))</f>
        <v/>
      </c>
      <c r="BR96" s="10" t="str">
        <f>IF(ISBLANK(Kühl_und_Kältemittel[[#This Row],[Wert 
(Zahl)]]),"",IFERROR(Kühl_und_Kältemittel[[#This Row],[Scope 2 SF6 '[kg SF6']]]*IFERROR(VLOOKUP("SF6",GWP_100[],8,FALSE),0),0))</f>
        <v/>
      </c>
      <c r="BS96" s="10" t="str">
        <f>IF(ISBLANK(Kühl_und_Kältemittel[[#This Row],[Wert 
(Zahl)]]),"",IFERROR(Kühl_und_Kältemittel[[#This Row],[Scope 2 NF3 '[kg NF3']]]*IFERROR(VLOOKUP("NF3",GWP_100[],9,FALSE),0),0))</f>
        <v/>
      </c>
      <c r="BT96" s="10" t="str">
        <f>IF(ISBLANK(Kühl_und_Kältemittel[[#This Row],[Wert 
(Zahl)]]),"",IFERROR(Kühl_und_Kältemittel[[#This Row],[Scope 2 non-Kyoto '[kg non-Kyoto gas']]]*IFERROR(VLOOKUP(Kühl_und_Kältemittel[[#This Row],[Emissionsquelle/Aktivität (Dropdown)]],GWP_100[],10,FALSE),0),0))</f>
        <v/>
      </c>
    </row>
    <row r="97" spans="2:92" s="89" customFormat="1" x14ac:dyDescent="0.35">
      <c r="B97" s="604"/>
      <c r="C97" s="10" t="str">
        <f t="shared" si="2"/>
        <v>Kühl_und_Kältemittel</v>
      </c>
      <c r="D97" s="90"/>
      <c r="E97" s="90"/>
      <c r="F97" s="288"/>
      <c r="G97" s="10" t="str">
        <f>IFERROR(VLOOKUP(Kühl_und_Kältemittel[[#This Row],[Thema_Bezeichung]],EFs_Kühlmittel[],4,FALSE),"")</f>
        <v/>
      </c>
      <c r="H97" s="90"/>
      <c r="I97" s="90"/>
      <c r="J97" s="90"/>
      <c r="K97" s="284" t="str">
        <f>IF(ISBLANK(Kühl_und_Kältemittel[[#This Row],[Wert 
(Zahl)]]),"", SUM(Kühl_und_Kältemittel[[#This Row],[Scope 1 CO2e '[kg CO2e']]:[Scope 3 CO2e '[kg CO2e']]]))</f>
        <v/>
      </c>
      <c r="L97" s="158"/>
      <c r="M97" s="408"/>
      <c r="N97" s="408"/>
      <c r="O97" s="15" t="str">
        <f>IF(ISBLANK(Kühl_und_Kältemittel[[#This Row],[Emissionsquelle/Aktivität (Dropdown)]]),"",CONCATENATE(Kühl_und_Kältemittel[[#This Row],[Sektor_Thema]]," - ",Kühl_und_Kältemittel[[#This Row],[Emissionsquelle/Aktivität (Dropdown)]]))</f>
        <v/>
      </c>
      <c r="P97" s="15"/>
      <c r="Q97" s="15" t="str">
        <f>IFERROR(VLOOKUP(Kühl_und_Kältemittel[[#This Row],[Thema_Bezeichung]],EFs_Kühlmittel[],5,FALSE),"")</f>
        <v/>
      </c>
      <c r="R97" s="15" t="str">
        <f>IFERROR(VLOOKUP(Kühl_und_Kältemittel[[#This Row],[Thema_Bezeichung]],EFs_Kühlmittel[],6,FALSE),"")</f>
        <v/>
      </c>
      <c r="S97" s="15" t="str">
        <f>IFERROR(VLOOKUP(Kühl_und_Kältemittel[[#This Row],[Thema_Bezeichung]],EFs_Kühlmittel[],7,FALSE),"")</f>
        <v/>
      </c>
      <c r="T97" s="15" t="str">
        <f>IFERROR(VLOOKUP(Kühl_und_Kältemittel[[#This Row],[Thema_Bezeichung]],EFs_Kühlmittel[],8,FALSE),"")</f>
        <v/>
      </c>
      <c r="U97" s="15" t="str">
        <f>IFERROR(VLOOKUP(Kühl_und_Kältemittel[[#This Row],[Thema_Bezeichung]],EFs_Kühlmittel[],9,FALSE),"")</f>
        <v/>
      </c>
      <c r="V97" s="15" t="str">
        <f>IFERROR(VLOOKUP(Kühl_und_Kältemittel[[#This Row],[Thema_Bezeichung]],EFs_Kühlmittel[],10,FALSE),"")</f>
        <v/>
      </c>
      <c r="W97" s="15" t="str">
        <f>IFERROR(VLOOKUP(Kühl_und_Kältemittel[[#This Row],[Thema_Bezeichung]],EFs_Kühlmittel[],11,FALSE),"")</f>
        <v/>
      </c>
      <c r="X97" s="15" t="str">
        <f>IFERROR(VLOOKUP(Kühl_und_Kältemittel[[#This Row],[Thema_Bezeichung]],EFs_Kühlmittel[],12,FALSE),"")</f>
        <v/>
      </c>
      <c r="Y97" s="15" t="str">
        <f>IFERROR(VLOOKUP(Kühl_und_Kältemittel[[#This Row],[Thema_Bezeichung]],EFs_Kühlmittel[],13,FALSE),"")</f>
        <v/>
      </c>
      <c r="Z97" s="15" t="str">
        <f>IFERROR(VLOOKUP(Kühl_und_Kältemittel[[#This Row],[Thema_Bezeichung]],EFs_Kühlmittel[],14,FALSE),"")</f>
        <v/>
      </c>
      <c r="AA97" s="15" t="str">
        <f>IFERROR(VLOOKUP(Kühl_und_Kältemittel[[#This Row],[Thema_Bezeichung]],EFs_Kühlmittel[],15,FALSE),"")</f>
        <v/>
      </c>
      <c r="AB97" s="15" t="str">
        <f>IFERROR(VLOOKUP(Kühl_und_Kältemittel[[#This Row],[Thema_Bezeichung]],EFs_Kühlmittel[],16,FALSE),"")</f>
        <v/>
      </c>
      <c r="AC97" s="15" t="str">
        <f>IFERROR(VLOOKUP(Kühl_und_Kältemittel[[#This Row],[Thema_Bezeichung]],EFs_Kühlmittel[],17,FALSE),"")</f>
        <v/>
      </c>
      <c r="AD97" s="15" t="str">
        <f>IFERROR(VLOOKUP(Kühl_und_Kältemittel[[#This Row],[Thema_Bezeichung]],EFs_Kühlmittel[],18,FALSE),"")</f>
        <v/>
      </c>
      <c r="AE97" s="15" t="str">
        <f>IFERROR(VLOOKUP(Kühl_und_Kältemittel[[#This Row],[Thema_Bezeichung]],EFs_Kühlmittel[],19,FALSE),"")</f>
        <v/>
      </c>
      <c r="AF97" s="15" t="str">
        <f>IFERROR(VLOOKUP(Kühl_und_Kältemittel[[#This Row],[Thema_Bezeichung]],EFs_Kühlmittel[],20,FALSE),"")</f>
        <v/>
      </c>
      <c r="AG97" s="15" t="str">
        <f>IFERROR(VLOOKUP(Kühl_und_Kältemittel[[#This Row],[Thema_Bezeichung]],EFs_Kühlmittel[],21,FALSE),"")</f>
        <v/>
      </c>
      <c r="AH97" s="15" t="str">
        <f>IFERROR(VLOOKUP(Kühl_und_Kältemittel[[#This Row],[Thema_Bezeichung]],EFs_Kühlmittel[],22,FALSE),"")</f>
        <v/>
      </c>
      <c r="AI97" s="15" t="str">
        <f>IFERROR(VLOOKUP(Kühl_und_Kältemittel[[#This Row],[Thema_Bezeichung]],EFs_Kühlmittel[],23,FALSE),"")</f>
        <v/>
      </c>
      <c r="AJ97" s="15" t="str">
        <f>IFERROR(VLOOKUP(Kühl_und_Kältemittel[[#This Row],[Thema_Bezeichung]],EFs_Kühlmittel[],24,FALSE),"")</f>
        <v/>
      </c>
      <c r="AK97" s="15" t="str">
        <f>IFERROR(Kühl_und_Kältemittel[[#This Row],[Wert 
(Zahl)]]*Kühl_und_Kältemittel[[#This Row],[EF Scope 1 CO2e
(kg CO2e/Einheit)]],"")</f>
        <v/>
      </c>
      <c r="AL97" s="15" t="str">
        <f>IFERROR(Kühl_und_Kältemittel[[#This Row],[Wert 
(Zahl)]]*Kühl_und_Kältemittel[[#This Row],[EF Scope 2 CO2e
(kg CO2e/Einheit)]],"")</f>
        <v/>
      </c>
      <c r="AM97" s="15" t="str">
        <f>IFERROR(Kühl_und_Kältemittel[[#This Row],[Wert 
(Zahl)]]*Kühl_und_Kältemittel[[#This Row],[EF Scope 3 CO2e
(kg CO2e/Einheit)]],"")</f>
        <v/>
      </c>
      <c r="AN97" s="15" t="str">
        <f>IFERROR(Kühl_und_Kältemittel[[#This Row],[Wert 
(Zahl)]]*Kühl_und_Kältemittel[[#This Row],[EF Scope 1 CO2 biogen
(kg CO2 /Einheit)]],"")</f>
        <v/>
      </c>
      <c r="AO97" s="15" t="str">
        <f>IFERROR(Kühl_und_Kältemittel[[#This Row],[Wert 
(Zahl)]]*Kühl_und_Kältemittel[[#This Row],[EF Scope 1 CO2
(kg CO2/Einheit)]],"")</f>
        <v/>
      </c>
      <c r="AP97" s="15" t="str">
        <f>IFERROR(Kühl_und_Kältemittel[[#This Row],[Wert 
(Zahl)]]*Kühl_und_Kältemittel[[#This Row],[EF Scope 1 CH4
(kg CH4/Einheit)]],"")</f>
        <v/>
      </c>
      <c r="AQ97" s="15" t="str">
        <f>IFERROR(Kühl_und_Kältemittel[[#This Row],[Wert 
(Zahl)]]*Kühl_und_Kältemittel[[#This Row],[EF Scope 1 N2O
(kg N2O/Einheit)]],"")</f>
        <v/>
      </c>
      <c r="AR97" s="15" t="str">
        <f>IFERROR(Kühl_und_Kältemittel[[#This Row],[Wert 
(Zahl)]]*Kühl_und_Kältemittel[[#This Row],[EF Scope 1 HFCs
(kg HFCs/Einheit)]],"")</f>
        <v/>
      </c>
      <c r="AS97" s="15" t="str">
        <f>IFERROR(Kühl_und_Kältemittel[[#This Row],[Wert 
(Zahl)]]*Kühl_und_Kältemittel[[#This Row],[EF Scope 1 PFCs
(kg PFCs/Einheit)]],"")</f>
        <v/>
      </c>
      <c r="AT97" s="15" t="str">
        <f>IFERROR(Kühl_und_Kältemittel[[#This Row],[Wert 
(Zahl)]]*Kühl_und_Kältemittel[[#This Row],[EF Scope 1 SF6
(kg SF6/Einheit)]],"")</f>
        <v/>
      </c>
      <c r="AU97" s="15" t="str">
        <f>IFERROR(Kühl_und_Kältemittel[[#This Row],[Wert 
(Zahl)]]*Kühl_und_Kältemittel[[#This Row],[EF Scope 1 NF3
(kg NF3/Einheit)]],"")</f>
        <v/>
      </c>
      <c r="AV97" s="15" t="str">
        <f>IFERROR(Kühl_und_Kältemittel[[#This Row],[Wert 
(Zahl)]]*Kühl_und_Kältemittel[[#This Row],[EF Scope 1 Nicht-Kyoto-Gase (kg Nicht-Kyoto-Gase/Einheit)]],"")</f>
        <v/>
      </c>
      <c r="AW97" s="15" t="str">
        <f>IFERROR(Kühl_und_Kältemittel[[#This Row],[Wert 
(Zahl)]]*Kühl_und_Kältemittel[[#This Row],[EF Scope 2 CO2
(kg CO2/Einheit)]],"")</f>
        <v/>
      </c>
      <c r="AX97" s="15" t="str">
        <f>IFERROR(Kühl_und_Kältemittel[[#This Row],[Wert 
(Zahl)]]*Kühl_und_Kältemittel[[#This Row],[EF Scope 2 CH4
(kg CH4/Einheit)]],"")</f>
        <v/>
      </c>
      <c r="AY97" s="15" t="str">
        <f>IFERROR(Kühl_und_Kältemittel[[#This Row],[Wert 
(Zahl)]]*Kühl_und_Kältemittel[[#This Row],[EF Scope 2 N2O
(kg N2O/Einheit)]],"")</f>
        <v/>
      </c>
      <c r="AZ97" s="15" t="str">
        <f>IFERROR(Kühl_und_Kältemittel[[#This Row],[Wert 
(Zahl)]]*Kühl_und_Kältemittel[[#This Row],[EF Scope 2 HFCs
(kg HFCs/Einheit)]],"")</f>
        <v/>
      </c>
      <c r="BA97" s="15" t="str">
        <f>IFERROR(Kühl_und_Kältemittel[[#This Row],[Wert 
(Zahl)]]*Kühl_und_Kältemittel[[#This Row],[EF Scope 2 PFCs
(kg PFCs/Einheit)]],"")</f>
        <v/>
      </c>
      <c r="BB97" s="15" t="str">
        <f>IFERROR(Kühl_und_Kältemittel[[#This Row],[Wert 
(Zahl)]]*Kühl_und_Kältemittel[[#This Row],[EF Scope 2 SF6
(kg SF6/Einheit)]],"")</f>
        <v/>
      </c>
      <c r="BC97" s="15" t="str">
        <f>IFERROR(Kühl_und_Kältemittel[[#This Row],[Wert 
(Zahl)]]*Kühl_und_Kältemittel[[#This Row],[EF Scope 2 NF3
(kg NF3/Einheit)]],"")</f>
        <v/>
      </c>
      <c r="BD97" s="15" t="str">
        <f>IFERROR(Kühl_und_Kältemittel[[#This Row],[Wert 
(Zahl)]]*Kühl_und_Kältemittel[[#This Row],[EF Scope 2 Nicht-Kyoto-Gase (kg Nicht-Kyoto-Gase/Einheit)]],"")</f>
        <v/>
      </c>
      <c r="BE97" s="10" t="str">
        <f>IF(ISBLANK(Kühl_und_Kältemittel[[#This Row],[Wert 
(Zahl)]]),"",IFERROR(Kühl_und_Kältemittel[[#This Row],[Scope 1 CO2 '[kg CO2']]]*IFERROR(VLOOKUP("CO2",GWP_100[],3,FALSE),0),0))</f>
        <v/>
      </c>
      <c r="BF97" s="10" t="str">
        <f>IF(ISBLANK(Kühl_und_Kältemittel[[#This Row],[Wert 
(Zahl)]]),"",IFERROR(Kühl_und_Kältemittel[[#This Row],[Scope 1 CH4 '[kg CH4']]]*IFERROR(VLOOKUP("CH4",GWP_100[],4,FALSE),0),0))</f>
        <v/>
      </c>
      <c r="BG97" s="10" t="str">
        <f>IF(ISBLANK(Kühl_und_Kältemittel[[#This Row],[Wert 
(Zahl)]]),"",IFERROR(Kühl_und_Kältemittel[[#This Row],[Scope 1 N2O '[kg N2O']]]*IFERROR(VLOOKUP("N2O",GWP_100[],5,FALSE),0),0))</f>
        <v/>
      </c>
      <c r="BH97" s="10" t="str">
        <f>IF(ISBLANK(Kühl_und_Kältemittel[[#This Row],[Wert 
(Zahl)]]),"",IFERROR(Kühl_und_Kältemittel[[#This Row],[Scope 1 HFCs '[kg HFCs']]]*IFERROR(VLOOKUP(Kühl_und_Kältemittel[[#This Row],[Emissionsquelle/Aktivität (Dropdown)]],GWP_100[],6,FALSE),0),0))</f>
        <v/>
      </c>
      <c r="BI97" s="10" t="str">
        <f>IF(ISBLANK(Kühl_und_Kältemittel[[#This Row],[Wert 
(Zahl)]]),"",IFERROR(Kühl_und_Kältemittel[[#This Row],[Scope 1 PFCs '[kg PFCs']]]*IFERROR(VLOOKUP(Kühl_und_Kältemittel[[#This Row],[Emissionsquelle/Aktivität (Dropdown)]],GWP_100[],7,FALSE),0),0))</f>
        <v/>
      </c>
      <c r="BJ97" s="10" t="str">
        <f>IF(ISBLANK(Kühl_und_Kältemittel[[#This Row],[Wert 
(Zahl)]]),"",IFERROR(Kühl_und_Kältemittel[[#This Row],[Scope 1 SF6 '[kg SF6']]]*IFERROR(VLOOKUP("SF6",GWP_100[],8,FALSE),0),0))</f>
        <v/>
      </c>
      <c r="BK97" s="10" t="str">
        <f>IF(ISBLANK(Kühl_und_Kältemittel[[#This Row],[Wert 
(Zahl)]]),"",IFERROR(Kühl_und_Kältemittel[[#This Row],[Scope 1 NF3 '[kg NF3']]]*IFERROR(VLOOKUP("NF3",GWP_100[],9,FALSE),0),0))</f>
        <v/>
      </c>
      <c r="BL97" s="10" t="str">
        <f>IF(ISBLANK(Kühl_und_Kältemittel[[#This Row],[Wert 
(Zahl)]]),"",IFERROR(Kühl_und_Kältemittel[[#This Row],[Scope 1 non-Kyoto '[kg non-Kyoto gas']]]*IFERROR(VLOOKUP(Kühl_und_Kältemittel[[#This Row],[Emissionsquelle/Aktivität (Dropdown)]],GWP_100[],10,FALSE),0),0))</f>
        <v/>
      </c>
      <c r="BM97" s="10" t="str">
        <f>IF(ISBLANK(Kühl_und_Kältemittel[[#This Row],[Wert 
(Zahl)]]),"",IFERROR(Kühl_und_Kältemittel[[#This Row],[Scope 2 CO2 '[kg CO2']]]*IFERROR(VLOOKUP("CO2",GWP_100[],3,FALSE),0),0))</f>
        <v/>
      </c>
      <c r="BN97" s="10" t="str">
        <f>IF(ISBLANK(Kühl_und_Kältemittel[[#This Row],[Wert 
(Zahl)]]),"",IFERROR(Kühl_und_Kältemittel[[#This Row],[Scope 2 CH4 '[kg CH4']]]*IFERROR(VLOOKUP("CH4",GWP_100[],4,FALSE),0),0))</f>
        <v/>
      </c>
      <c r="BO97" s="10" t="str">
        <f>IF(ISBLANK(Kühl_und_Kältemittel[[#This Row],[Wert 
(Zahl)]]),"",IFERROR(Kühl_und_Kältemittel[[#This Row],[Scope 2 N2O '[kg N2O']]]*IFERROR(VLOOKUP("N2O",GWP_100[],5,FALSE),0),0))</f>
        <v/>
      </c>
      <c r="BP97" s="10" t="str">
        <f>IF(ISBLANK(Kühl_und_Kältemittel[[#This Row],[Wert 
(Zahl)]]),"",IFERROR(Kühl_und_Kältemittel[[#This Row],[Scope 2 HFCs '[kg HFCs']]]*IFERROR(VLOOKUP(Kühl_und_Kältemittel[[#This Row],[Emissionsquelle/Aktivität (Dropdown)]],GWP_100[],6,FALSE),0),0))</f>
        <v/>
      </c>
      <c r="BQ97" s="10" t="str">
        <f>IF(ISBLANK(Kühl_und_Kältemittel[[#This Row],[Wert 
(Zahl)]]),"",IFERROR(Kühl_und_Kältemittel[[#This Row],[Scope 2 PFCs '[kg PFCs']]]*IFERROR(VLOOKUP(Kühl_und_Kältemittel[[#This Row],[Emissionsquelle/Aktivität (Dropdown)]],GWP_100[],7,FALSE),0),0))</f>
        <v/>
      </c>
      <c r="BR97" s="10" t="str">
        <f>IF(ISBLANK(Kühl_und_Kältemittel[[#This Row],[Wert 
(Zahl)]]),"",IFERROR(Kühl_und_Kältemittel[[#This Row],[Scope 2 SF6 '[kg SF6']]]*IFERROR(VLOOKUP("SF6",GWP_100[],8,FALSE),0),0))</f>
        <v/>
      </c>
      <c r="BS97" s="10" t="str">
        <f>IF(ISBLANK(Kühl_und_Kältemittel[[#This Row],[Wert 
(Zahl)]]),"",IFERROR(Kühl_und_Kältemittel[[#This Row],[Scope 2 NF3 '[kg NF3']]]*IFERROR(VLOOKUP("NF3",GWP_100[],9,FALSE),0),0))</f>
        <v/>
      </c>
      <c r="BT97" s="10" t="str">
        <f>IF(ISBLANK(Kühl_und_Kältemittel[[#This Row],[Wert 
(Zahl)]]),"",IFERROR(Kühl_und_Kältemittel[[#This Row],[Scope 2 non-Kyoto '[kg non-Kyoto gas']]]*IFERROR(VLOOKUP(Kühl_und_Kältemittel[[#This Row],[Emissionsquelle/Aktivität (Dropdown)]],GWP_100[],10,FALSE),0),0))</f>
        <v/>
      </c>
    </row>
    <row r="98" spans="2:92" s="89" customFormat="1" x14ac:dyDescent="0.35">
      <c r="B98" s="604"/>
      <c r="C98" s="10" t="str">
        <f t="shared" si="2"/>
        <v>Kühl_und_Kältemittel</v>
      </c>
      <c r="D98" s="90"/>
      <c r="E98" s="90"/>
      <c r="F98" s="288"/>
      <c r="G98" s="10" t="str">
        <f>IFERROR(VLOOKUP(Kühl_und_Kältemittel[[#This Row],[Thema_Bezeichung]],EFs_Kühlmittel[],4,FALSE),"")</f>
        <v/>
      </c>
      <c r="H98" s="90"/>
      <c r="I98" s="90"/>
      <c r="J98" s="90"/>
      <c r="K98" s="284" t="str">
        <f>IF(ISBLANK(Kühl_und_Kältemittel[[#This Row],[Wert 
(Zahl)]]),"", SUM(Kühl_und_Kältemittel[[#This Row],[Scope 1 CO2e '[kg CO2e']]:[Scope 3 CO2e '[kg CO2e']]]))</f>
        <v/>
      </c>
      <c r="L98" s="158"/>
      <c r="M98" s="408"/>
      <c r="N98" s="408"/>
      <c r="O98" s="15" t="str">
        <f>IF(ISBLANK(Kühl_und_Kältemittel[[#This Row],[Emissionsquelle/Aktivität (Dropdown)]]),"",CONCATENATE(Kühl_und_Kältemittel[[#This Row],[Sektor_Thema]]," - ",Kühl_und_Kältemittel[[#This Row],[Emissionsquelle/Aktivität (Dropdown)]]))</f>
        <v/>
      </c>
      <c r="P98" s="15"/>
      <c r="Q98" s="15" t="str">
        <f>IFERROR(VLOOKUP(Kühl_und_Kältemittel[[#This Row],[Thema_Bezeichung]],EFs_Kühlmittel[],5,FALSE),"")</f>
        <v/>
      </c>
      <c r="R98" s="15" t="str">
        <f>IFERROR(VLOOKUP(Kühl_und_Kältemittel[[#This Row],[Thema_Bezeichung]],EFs_Kühlmittel[],6,FALSE),"")</f>
        <v/>
      </c>
      <c r="S98" s="15" t="str">
        <f>IFERROR(VLOOKUP(Kühl_und_Kältemittel[[#This Row],[Thema_Bezeichung]],EFs_Kühlmittel[],7,FALSE),"")</f>
        <v/>
      </c>
      <c r="T98" s="15" t="str">
        <f>IFERROR(VLOOKUP(Kühl_und_Kältemittel[[#This Row],[Thema_Bezeichung]],EFs_Kühlmittel[],8,FALSE),"")</f>
        <v/>
      </c>
      <c r="U98" s="15" t="str">
        <f>IFERROR(VLOOKUP(Kühl_und_Kältemittel[[#This Row],[Thema_Bezeichung]],EFs_Kühlmittel[],9,FALSE),"")</f>
        <v/>
      </c>
      <c r="V98" s="15" t="str">
        <f>IFERROR(VLOOKUP(Kühl_und_Kältemittel[[#This Row],[Thema_Bezeichung]],EFs_Kühlmittel[],10,FALSE),"")</f>
        <v/>
      </c>
      <c r="W98" s="15" t="str">
        <f>IFERROR(VLOOKUP(Kühl_und_Kältemittel[[#This Row],[Thema_Bezeichung]],EFs_Kühlmittel[],11,FALSE),"")</f>
        <v/>
      </c>
      <c r="X98" s="15" t="str">
        <f>IFERROR(VLOOKUP(Kühl_und_Kältemittel[[#This Row],[Thema_Bezeichung]],EFs_Kühlmittel[],12,FALSE),"")</f>
        <v/>
      </c>
      <c r="Y98" s="15" t="str">
        <f>IFERROR(VLOOKUP(Kühl_und_Kältemittel[[#This Row],[Thema_Bezeichung]],EFs_Kühlmittel[],13,FALSE),"")</f>
        <v/>
      </c>
      <c r="Z98" s="15" t="str">
        <f>IFERROR(VLOOKUP(Kühl_und_Kältemittel[[#This Row],[Thema_Bezeichung]],EFs_Kühlmittel[],14,FALSE),"")</f>
        <v/>
      </c>
      <c r="AA98" s="15" t="str">
        <f>IFERROR(VLOOKUP(Kühl_und_Kältemittel[[#This Row],[Thema_Bezeichung]],EFs_Kühlmittel[],15,FALSE),"")</f>
        <v/>
      </c>
      <c r="AB98" s="15" t="str">
        <f>IFERROR(VLOOKUP(Kühl_und_Kältemittel[[#This Row],[Thema_Bezeichung]],EFs_Kühlmittel[],16,FALSE),"")</f>
        <v/>
      </c>
      <c r="AC98" s="15" t="str">
        <f>IFERROR(VLOOKUP(Kühl_und_Kältemittel[[#This Row],[Thema_Bezeichung]],EFs_Kühlmittel[],17,FALSE),"")</f>
        <v/>
      </c>
      <c r="AD98" s="15" t="str">
        <f>IFERROR(VLOOKUP(Kühl_und_Kältemittel[[#This Row],[Thema_Bezeichung]],EFs_Kühlmittel[],18,FALSE),"")</f>
        <v/>
      </c>
      <c r="AE98" s="15" t="str">
        <f>IFERROR(VLOOKUP(Kühl_und_Kältemittel[[#This Row],[Thema_Bezeichung]],EFs_Kühlmittel[],19,FALSE),"")</f>
        <v/>
      </c>
      <c r="AF98" s="15" t="str">
        <f>IFERROR(VLOOKUP(Kühl_und_Kältemittel[[#This Row],[Thema_Bezeichung]],EFs_Kühlmittel[],20,FALSE),"")</f>
        <v/>
      </c>
      <c r="AG98" s="15" t="str">
        <f>IFERROR(VLOOKUP(Kühl_und_Kältemittel[[#This Row],[Thema_Bezeichung]],EFs_Kühlmittel[],21,FALSE),"")</f>
        <v/>
      </c>
      <c r="AH98" s="15" t="str">
        <f>IFERROR(VLOOKUP(Kühl_und_Kältemittel[[#This Row],[Thema_Bezeichung]],EFs_Kühlmittel[],22,FALSE),"")</f>
        <v/>
      </c>
      <c r="AI98" s="15" t="str">
        <f>IFERROR(VLOOKUP(Kühl_und_Kältemittel[[#This Row],[Thema_Bezeichung]],EFs_Kühlmittel[],23,FALSE),"")</f>
        <v/>
      </c>
      <c r="AJ98" s="15" t="str">
        <f>IFERROR(VLOOKUP(Kühl_und_Kältemittel[[#This Row],[Thema_Bezeichung]],EFs_Kühlmittel[],24,FALSE),"")</f>
        <v/>
      </c>
      <c r="AK98" s="15" t="str">
        <f>IFERROR(Kühl_und_Kältemittel[[#This Row],[Wert 
(Zahl)]]*Kühl_und_Kältemittel[[#This Row],[EF Scope 1 CO2e
(kg CO2e/Einheit)]],"")</f>
        <v/>
      </c>
      <c r="AL98" s="15" t="str">
        <f>IFERROR(Kühl_und_Kältemittel[[#This Row],[Wert 
(Zahl)]]*Kühl_und_Kältemittel[[#This Row],[EF Scope 2 CO2e
(kg CO2e/Einheit)]],"")</f>
        <v/>
      </c>
      <c r="AM98" s="15" t="str">
        <f>IFERROR(Kühl_und_Kältemittel[[#This Row],[Wert 
(Zahl)]]*Kühl_und_Kältemittel[[#This Row],[EF Scope 3 CO2e
(kg CO2e/Einheit)]],"")</f>
        <v/>
      </c>
      <c r="AN98" s="15" t="str">
        <f>IFERROR(Kühl_und_Kältemittel[[#This Row],[Wert 
(Zahl)]]*Kühl_und_Kältemittel[[#This Row],[EF Scope 1 CO2 biogen
(kg CO2 /Einheit)]],"")</f>
        <v/>
      </c>
      <c r="AO98" s="15" t="str">
        <f>IFERROR(Kühl_und_Kältemittel[[#This Row],[Wert 
(Zahl)]]*Kühl_und_Kältemittel[[#This Row],[EF Scope 1 CO2
(kg CO2/Einheit)]],"")</f>
        <v/>
      </c>
      <c r="AP98" s="15" t="str">
        <f>IFERROR(Kühl_und_Kältemittel[[#This Row],[Wert 
(Zahl)]]*Kühl_und_Kältemittel[[#This Row],[EF Scope 1 CH4
(kg CH4/Einheit)]],"")</f>
        <v/>
      </c>
      <c r="AQ98" s="15" t="str">
        <f>IFERROR(Kühl_und_Kältemittel[[#This Row],[Wert 
(Zahl)]]*Kühl_und_Kältemittel[[#This Row],[EF Scope 1 N2O
(kg N2O/Einheit)]],"")</f>
        <v/>
      </c>
      <c r="AR98" s="15" t="str">
        <f>IFERROR(Kühl_und_Kältemittel[[#This Row],[Wert 
(Zahl)]]*Kühl_und_Kältemittel[[#This Row],[EF Scope 1 HFCs
(kg HFCs/Einheit)]],"")</f>
        <v/>
      </c>
      <c r="AS98" s="15" t="str">
        <f>IFERROR(Kühl_und_Kältemittel[[#This Row],[Wert 
(Zahl)]]*Kühl_und_Kältemittel[[#This Row],[EF Scope 1 PFCs
(kg PFCs/Einheit)]],"")</f>
        <v/>
      </c>
      <c r="AT98" s="15" t="str">
        <f>IFERROR(Kühl_und_Kältemittel[[#This Row],[Wert 
(Zahl)]]*Kühl_und_Kältemittel[[#This Row],[EF Scope 1 SF6
(kg SF6/Einheit)]],"")</f>
        <v/>
      </c>
      <c r="AU98" s="15" t="str">
        <f>IFERROR(Kühl_und_Kältemittel[[#This Row],[Wert 
(Zahl)]]*Kühl_und_Kältemittel[[#This Row],[EF Scope 1 NF3
(kg NF3/Einheit)]],"")</f>
        <v/>
      </c>
      <c r="AV98" s="15" t="str">
        <f>IFERROR(Kühl_und_Kältemittel[[#This Row],[Wert 
(Zahl)]]*Kühl_und_Kältemittel[[#This Row],[EF Scope 1 Nicht-Kyoto-Gase (kg Nicht-Kyoto-Gase/Einheit)]],"")</f>
        <v/>
      </c>
      <c r="AW98" s="15" t="str">
        <f>IFERROR(Kühl_und_Kältemittel[[#This Row],[Wert 
(Zahl)]]*Kühl_und_Kältemittel[[#This Row],[EF Scope 2 CO2
(kg CO2/Einheit)]],"")</f>
        <v/>
      </c>
      <c r="AX98" s="15" t="str">
        <f>IFERROR(Kühl_und_Kältemittel[[#This Row],[Wert 
(Zahl)]]*Kühl_und_Kältemittel[[#This Row],[EF Scope 2 CH4
(kg CH4/Einheit)]],"")</f>
        <v/>
      </c>
      <c r="AY98" s="15" t="str">
        <f>IFERROR(Kühl_und_Kältemittel[[#This Row],[Wert 
(Zahl)]]*Kühl_und_Kältemittel[[#This Row],[EF Scope 2 N2O
(kg N2O/Einheit)]],"")</f>
        <v/>
      </c>
      <c r="AZ98" s="15" t="str">
        <f>IFERROR(Kühl_und_Kältemittel[[#This Row],[Wert 
(Zahl)]]*Kühl_und_Kältemittel[[#This Row],[EF Scope 2 HFCs
(kg HFCs/Einheit)]],"")</f>
        <v/>
      </c>
      <c r="BA98" s="15" t="str">
        <f>IFERROR(Kühl_und_Kältemittel[[#This Row],[Wert 
(Zahl)]]*Kühl_und_Kältemittel[[#This Row],[EF Scope 2 PFCs
(kg PFCs/Einheit)]],"")</f>
        <v/>
      </c>
      <c r="BB98" s="15" t="str">
        <f>IFERROR(Kühl_und_Kältemittel[[#This Row],[Wert 
(Zahl)]]*Kühl_und_Kältemittel[[#This Row],[EF Scope 2 SF6
(kg SF6/Einheit)]],"")</f>
        <v/>
      </c>
      <c r="BC98" s="15" t="str">
        <f>IFERROR(Kühl_und_Kältemittel[[#This Row],[Wert 
(Zahl)]]*Kühl_und_Kältemittel[[#This Row],[EF Scope 2 NF3
(kg NF3/Einheit)]],"")</f>
        <v/>
      </c>
      <c r="BD98" s="15" t="str">
        <f>IFERROR(Kühl_und_Kältemittel[[#This Row],[Wert 
(Zahl)]]*Kühl_und_Kältemittel[[#This Row],[EF Scope 2 Nicht-Kyoto-Gase (kg Nicht-Kyoto-Gase/Einheit)]],"")</f>
        <v/>
      </c>
      <c r="BE98" s="10" t="str">
        <f>IF(ISBLANK(Kühl_und_Kältemittel[[#This Row],[Wert 
(Zahl)]]),"",IFERROR(Kühl_und_Kältemittel[[#This Row],[Scope 1 CO2 '[kg CO2']]]*IFERROR(VLOOKUP("CO2",GWP_100[],3,FALSE),0),0))</f>
        <v/>
      </c>
      <c r="BF98" s="10" t="str">
        <f>IF(ISBLANK(Kühl_und_Kältemittel[[#This Row],[Wert 
(Zahl)]]),"",IFERROR(Kühl_und_Kältemittel[[#This Row],[Scope 1 CH4 '[kg CH4']]]*IFERROR(VLOOKUP("CH4",GWP_100[],4,FALSE),0),0))</f>
        <v/>
      </c>
      <c r="BG98" s="10" t="str">
        <f>IF(ISBLANK(Kühl_und_Kältemittel[[#This Row],[Wert 
(Zahl)]]),"",IFERROR(Kühl_und_Kältemittel[[#This Row],[Scope 1 N2O '[kg N2O']]]*IFERROR(VLOOKUP("N2O",GWP_100[],5,FALSE),0),0))</f>
        <v/>
      </c>
      <c r="BH98" s="10" t="str">
        <f>IF(ISBLANK(Kühl_und_Kältemittel[[#This Row],[Wert 
(Zahl)]]),"",IFERROR(Kühl_und_Kältemittel[[#This Row],[Scope 1 HFCs '[kg HFCs']]]*IFERROR(VLOOKUP(Kühl_und_Kältemittel[[#This Row],[Emissionsquelle/Aktivität (Dropdown)]],GWP_100[],6,FALSE),0),0))</f>
        <v/>
      </c>
      <c r="BI98" s="10" t="str">
        <f>IF(ISBLANK(Kühl_und_Kältemittel[[#This Row],[Wert 
(Zahl)]]),"",IFERROR(Kühl_und_Kältemittel[[#This Row],[Scope 1 PFCs '[kg PFCs']]]*IFERROR(VLOOKUP(Kühl_und_Kältemittel[[#This Row],[Emissionsquelle/Aktivität (Dropdown)]],GWP_100[],7,FALSE),0),0))</f>
        <v/>
      </c>
      <c r="BJ98" s="10" t="str">
        <f>IF(ISBLANK(Kühl_und_Kältemittel[[#This Row],[Wert 
(Zahl)]]),"",IFERROR(Kühl_und_Kältemittel[[#This Row],[Scope 1 SF6 '[kg SF6']]]*IFERROR(VLOOKUP("SF6",GWP_100[],8,FALSE),0),0))</f>
        <v/>
      </c>
      <c r="BK98" s="10" t="str">
        <f>IF(ISBLANK(Kühl_und_Kältemittel[[#This Row],[Wert 
(Zahl)]]),"",IFERROR(Kühl_und_Kältemittel[[#This Row],[Scope 1 NF3 '[kg NF3']]]*IFERROR(VLOOKUP("NF3",GWP_100[],9,FALSE),0),0))</f>
        <v/>
      </c>
      <c r="BL98" s="10" t="str">
        <f>IF(ISBLANK(Kühl_und_Kältemittel[[#This Row],[Wert 
(Zahl)]]),"",IFERROR(Kühl_und_Kältemittel[[#This Row],[Scope 1 non-Kyoto '[kg non-Kyoto gas']]]*IFERROR(VLOOKUP(Kühl_und_Kältemittel[[#This Row],[Emissionsquelle/Aktivität (Dropdown)]],GWP_100[],10,FALSE),0),0))</f>
        <v/>
      </c>
      <c r="BM98" s="10" t="str">
        <f>IF(ISBLANK(Kühl_und_Kältemittel[[#This Row],[Wert 
(Zahl)]]),"",IFERROR(Kühl_und_Kältemittel[[#This Row],[Scope 2 CO2 '[kg CO2']]]*IFERROR(VLOOKUP("CO2",GWP_100[],3,FALSE),0),0))</f>
        <v/>
      </c>
      <c r="BN98" s="10" t="str">
        <f>IF(ISBLANK(Kühl_und_Kältemittel[[#This Row],[Wert 
(Zahl)]]),"",IFERROR(Kühl_und_Kältemittel[[#This Row],[Scope 2 CH4 '[kg CH4']]]*IFERROR(VLOOKUP("CH4",GWP_100[],4,FALSE),0),0))</f>
        <v/>
      </c>
      <c r="BO98" s="10" t="str">
        <f>IF(ISBLANK(Kühl_und_Kältemittel[[#This Row],[Wert 
(Zahl)]]),"",IFERROR(Kühl_und_Kältemittel[[#This Row],[Scope 2 N2O '[kg N2O']]]*IFERROR(VLOOKUP("N2O",GWP_100[],5,FALSE),0),0))</f>
        <v/>
      </c>
      <c r="BP98" s="10" t="str">
        <f>IF(ISBLANK(Kühl_und_Kältemittel[[#This Row],[Wert 
(Zahl)]]),"",IFERROR(Kühl_und_Kältemittel[[#This Row],[Scope 2 HFCs '[kg HFCs']]]*IFERROR(VLOOKUP(Kühl_und_Kältemittel[[#This Row],[Emissionsquelle/Aktivität (Dropdown)]],GWP_100[],6,FALSE),0),0))</f>
        <v/>
      </c>
      <c r="BQ98" s="10" t="str">
        <f>IF(ISBLANK(Kühl_und_Kältemittel[[#This Row],[Wert 
(Zahl)]]),"",IFERROR(Kühl_und_Kältemittel[[#This Row],[Scope 2 PFCs '[kg PFCs']]]*IFERROR(VLOOKUP(Kühl_und_Kältemittel[[#This Row],[Emissionsquelle/Aktivität (Dropdown)]],GWP_100[],7,FALSE),0),0))</f>
        <v/>
      </c>
      <c r="BR98" s="10" t="str">
        <f>IF(ISBLANK(Kühl_und_Kältemittel[[#This Row],[Wert 
(Zahl)]]),"",IFERROR(Kühl_und_Kältemittel[[#This Row],[Scope 2 SF6 '[kg SF6']]]*IFERROR(VLOOKUP("SF6",GWP_100[],8,FALSE),0),0))</f>
        <v/>
      </c>
      <c r="BS98" s="10" t="str">
        <f>IF(ISBLANK(Kühl_und_Kältemittel[[#This Row],[Wert 
(Zahl)]]),"",IFERROR(Kühl_und_Kältemittel[[#This Row],[Scope 2 NF3 '[kg NF3']]]*IFERROR(VLOOKUP("NF3",GWP_100[],9,FALSE),0),0))</f>
        <v/>
      </c>
      <c r="BT98" s="10" t="str">
        <f>IF(ISBLANK(Kühl_und_Kältemittel[[#This Row],[Wert 
(Zahl)]]),"",IFERROR(Kühl_und_Kältemittel[[#This Row],[Scope 2 non-Kyoto '[kg non-Kyoto gas']]]*IFERROR(VLOOKUP(Kühl_und_Kältemittel[[#This Row],[Emissionsquelle/Aktivität (Dropdown)]],GWP_100[],10,FALSE),0),0))</f>
        <v/>
      </c>
      <c r="BU98" s="2"/>
      <c r="BV98" s="2"/>
      <c r="BW98" s="2"/>
      <c r="BX98" s="2"/>
      <c r="BY98" s="2"/>
      <c r="BZ98" s="2"/>
      <c r="CA98" s="2"/>
      <c r="CB98" s="2"/>
      <c r="CC98" s="2"/>
      <c r="CD98" s="2"/>
      <c r="CE98" s="2"/>
      <c r="CF98" s="2"/>
      <c r="CG98" s="2"/>
      <c r="CH98" s="2"/>
      <c r="CI98" s="2"/>
      <c r="CJ98" s="2"/>
      <c r="CK98" s="2"/>
      <c r="CL98" s="2"/>
      <c r="CM98" s="2"/>
      <c r="CN98" s="2"/>
    </row>
    <row r="99" spans="2:92" s="89" customFormat="1" x14ac:dyDescent="0.35">
      <c r="B99" s="604"/>
      <c r="C99" s="10" t="str">
        <f t="shared" si="2"/>
        <v>Kühl_und_Kältemittel</v>
      </c>
      <c r="D99" s="90"/>
      <c r="E99" s="90"/>
      <c r="F99" s="288"/>
      <c r="G99" s="10" t="str">
        <f>IFERROR(VLOOKUP(Kühl_und_Kältemittel[[#This Row],[Thema_Bezeichung]],EFs_Kühlmittel[],4,FALSE),"")</f>
        <v/>
      </c>
      <c r="H99" s="90"/>
      <c r="I99" s="90"/>
      <c r="J99" s="90"/>
      <c r="K99" s="284" t="str">
        <f>IF(ISBLANK(Kühl_und_Kältemittel[[#This Row],[Wert 
(Zahl)]]),"", SUM(Kühl_und_Kältemittel[[#This Row],[Scope 1 CO2e '[kg CO2e']]:[Scope 3 CO2e '[kg CO2e']]]))</f>
        <v/>
      </c>
      <c r="L99" s="158"/>
      <c r="M99" s="408"/>
      <c r="N99" s="408"/>
      <c r="O99" s="15" t="str">
        <f>IF(ISBLANK(Kühl_und_Kältemittel[[#This Row],[Emissionsquelle/Aktivität (Dropdown)]]),"",CONCATENATE(Kühl_und_Kältemittel[[#This Row],[Sektor_Thema]]," - ",Kühl_und_Kältemittel[[#This Row],[Emissionsquelle/Aktivität (Dropdown)]]))</f>
        <v/>
      </c>
      <c r="P99" s="15"/>
      <c r="Q99" s="15" t="str">
        <f>IFERROR(VLOOKUP(Kühl_und_Kältemittel[[#This Row],[Thema_Bezeichung]],EFs_Kühlmittel[],5,FALSE),"")</f>
        <v/>
      </c>
      <c r="R99" s="15" t="str">
        <f>IFERROR(VLOOKUP(Kühl_und_Kältemittel[[#This Row],[Thema_Bezeichung]],EFs_Kühlmittel[],6,FALSE),"")</f>
        <v/>
      </c>
      <c r="S99" s="15" t="str">
        <f>IFERROR(VLOOKUP(Kühl_und_Kältemittel[[#This Row],[Thema_Bezeichung]],EFs_Kühlmittel[],7,FALSE),"")</f>
        <v/>
      </c>
      <c r="T99" s="15" t="str">
        <f>IFERROR(VLOOKUP(Kühl_und_Kältemittel[[#This Row],[Thema_Bezeichung]],EFs_Kühlmittel[],8,FALSE),"")</f>
        <v/>
      </c>
      <c r="U99" s="15" t="str">
        <f>IFERROR(VLOOKUP(Kühl_und_Kältemittel[[#This Row],[Thema_Bezeichung]],EFs_Kühlmittel[],9,FALSE),"")</f>
        <v/>
      </c>
      <c r="V99" s="15" t="str">
        <f>IFERROR(VLOOKUP(Kühl_und_Kältemittel[[#This Row],[Thema_Bezeichung]],EFs_Kühlmittel[],10,FALSE),"")</f>
        <v/>
      </c>
      <c r="W99" s="15" t="str">
        <f>IFERROR(VLOOKUP(Kühl_und_Kältemittel[[#This Row],[Thema_Bezeichung]],EFs_Kühlmittel[],11,FALSE),"")</f>
        <v/>
      </c>
      <c r="X99" s="15" t="str">
        <f>IFERROR(VLOOKUP(Kühl_und_Kältemittel[[#This Row],[Thema_Bezeichung]],EFs_Kühlmittel[],12,FALSE),"")</f>
        <v/>
      </c>
      <c r="Y99" s="15" t="str">
        <f>IFERROR(VLOOKUP(Kühl_und_Kältemittel[[#This Row],[Thema_Bezeichung]],EFs_Kühlmittel[],13,FALSE),"")</f>
        <v/>
      </c>
      <c r="Z99" s="15" t="str">
        <f>IFERROR(VLOOKUP(Kühl_und_Kältemittel[[#This Row],[Thema_Bezeichung]],EFs_Kühlmittel[],14,FALSE),"")</f>
        <v/>
      </c>
      <c r="AA99" s="15" t="str">
        <f>IFERROR(VLOOKUP(Kühl_und_Kältemittel[[#This Row],[Thema_Bezeichung]],EFs_Kühlmittel[],15,FALSE),"")</f>
        <v/>
      </c>
      <c r="AB99" s="15" t="str">
        <f>IFERROR(VLOOKUP(Kühl_und_Kältemittel[[#This Row],[Thema_Bezeichung]],EFs_Kühlmittel[],16,FALSE),"")</f>
        <v/>
      </c>
      <c r="AC99" s="15" t="str">
        <f>IFERROR(VLOOKUP(Kühl_und_Kältemittel[[#This Row],[Thema_Bezeichung]],EFs_Kühlmittel[],17,FALSE),"")</f>
        <v/>
      </c>
      <c r="AD99" s="15" t="str">
        <f>IFERROR(VLOOKUP(Kühl_und_Kältemittel[[#This Row],[Thema_Bezeichung]],EFs_Kühlmittel[],18,FALSE),"")</f>
        <v/>
      </c>
      <c r="AE99" s="15" t="str">
        <f>IFERROR(VLOOKUP(Kühl_und_Kältemittel[[#This Row],[Thema_Bezeichung]],EFs_Kühlmittel[],19,FALSE),"")</f>
        <v/>
      </c>
      <c r="AF99" s="15" t="str">
        <f>IFERROR(VLOOKUP(Kühl_und_Kältemittel[[#This Row],[Thema_Bezeichung]],EFs_Kühlmittel[],20,FALSE),"")</f>
        <v/>
      </c>
      <c r="AG99" s="15" t="str">
        <f>IFERROR(VLOOKUP(Kühl_und_Kältemittel[[#This Row],[Thema_Bezeichung]],EFs_Kühlmittel[],21,FALSE),"")</f>
        <v/>
      </c>
      <c r="AH99" s="15" t="str">
        <f>IFERROR(VLOOKUP(Kühl_und_Kältemittel[[#This Row],[Thema_Bezeichung]],EFs_Kühlmittel[],22,FALSE),"")</f>
        <v/>
      </c>
      <c r="AI99" s="15" t="str">
        <f>IFERROR(VLOOKUP(Kühl_und_Kältemittel[[#This Row],[Thema_Bezeichung]],EFs_Kühlmittel[],23,FALSE),"")</f>
        <v/>
      </c>
      <c r="AJ99" s="15" t="str">
        <f>IFERROR(VLOOKUP(Kühl_und_Kältemittel[[#This Row],[Thema_Bezeichung]],EFs_Kühlmittel[],24,FALSE),"")</f>
        <v/>
      </c>
      <c r="AK99" s="15" t="str">
        <f>IFERROR(Kühl_und_Kältemittel[[#This Row],[Wert 
(Zahl)]]*Kühl_und_Kältemittel[[#This Row],[EF Scope 1 CO2e
(kg CO2e/Einheit)]],"")</f>
        <v/>
      </c>
      <c r="AL99" s="15" t="str">
        <f>IFERROR(Kühl_und_Kältemittel[[#This Row],[Wert 
(Zahl)]]*Kühl_und_Kältemittel[[#This Row],[EF Scope 2 CO2e
(kg CO2e/Einheit)]],"")</f>
        <v/>
      </c>
      <c r="AM99" s="15" t="str">
        <f>IFERROR(Kühl_und_Kältemittel[[#This Row],[Wert 
(Zahl)]]*Kühl_und_Kältemittel[[#This Row],[EF Scope 3 CO2e
(kg CO2e/Einheit)]],"")</f>
        <v/>
      </c>
      <c r="AN99" s="15" t="str">
        <f>IFERROR(Kühl_und_Kältemittel[[#This Row],[Wert 
(Zahl)]]*Kühl_und_Kältemittel[[#This Row],[EF Scope 1 CO2 biogen
(kg CO2 /Einheit)]],"")</f>
        <v/>
      </c>
      <c r="AO99" s="15" t="str">
        <f>IFERROR(Kühl_und_Kältemittel[[#This Row],[Wert 
(Zahl)]]*Kühl_und_Kältemittel[[#This Row],[EF Scope 1 CO2
(kg CO2/Einheit)]],"")</f>
        <v/>
      </c>
      <c r="AP99" s="15" t="str">
        <f>IFERROR(Kühl_und_Kältemittel[[#This Row],[Wert 
(Zahl)]]*Kühl_und_Kältemittel[[#This Row],[EF Scope 1 CH4
(kg CH4/Einheit)]],"")</f>
        <v/>
      </c>
      <c r="AQ99" s="15" t="str">
        <f>IFERROR(Kühl_und_Kältemittel[[#This Row],[Wert 
(Zahl)]]*Kühl_und_Kältemittel[[#This Row],[EF Scope 1 N2O
(kg N2O/Einheit)]],"")</f>
        <v/>
      </c>
      <c r="AR99" s="15" t="str">
        <f>IFERROR(Kühl_und_Kältemittel[[#This Row],[Wert 
(Zahl)]]*Kühl_und_Kältemittel[[#This Row],[EF Scope 1 HFCs
(kg HFCs/Einheit)]],"")</f>
        <v/>
      </c>
      <c r="AS99" s="15" t="str">
        <f>IFERROR(Kühl_und_Kältemittel[[#This Row],[Wert 
(Zahl)]]*Kühl_und_Kältemittel[[#This Row],[EF Scope 1 PFCs
(kg PFCs/Einheit)]],"")</f>
        <v/>
      </c>
      <c r="AT99" s="15" t="str">
        <f>IFERROR(Kühl_und_Kältemittel[[#This Row],[Wert 
(Zahl)]]*Kühl_und_Kältemittel[[#This Row],[EF Scope 1 SF6
(kg SF6/Einheit)]],"")</f>
        <v/>
      </c>
      <c r="AU99" s="15" t="str">
        <f>IFERROR(Kühl_und_Kältemittel[[#This Row],[Wert 
(Zahl)]]*Kühl_und_Kältemittel[[#This Row],[EF Scope 1 NF3
(kg NF3/Einheit)]],"")</f>
        <v/>
      </c>
      <c r="AV99" s="15" t="str">
        <f>IFERROR(Kühl_und_Kältemittel[[#This Row],[Wert 
(Zahl)]]*Kühl_und_Kältemittel[[#This Row],[EF Scope 1 Nicht-Kyoto-Gase (kg Nicht-Kyoto-Gase/Einheit)]],"")</f>
        <v/>
      </c>
      <c r="AW99" s="15" t="str">
        <f>IFERROR(Kühl_und_Kältemittel[[#This Row],[Wert 
(Zahl)]]*Kühl_und_Kältemittel[[#This Row],[EF Scope 2 CO2
(kg CO2/Einheit)]],"")</f>
        <v/>
      </c>
      <c r="AX99" s="15" t="str">
        <f>IFERROR(Kühl_und_Kältemittel[[#This Row],[Wert 
(Zahl)]]*Kühl_und_Kältemittel[[#This Row],[EF Scope 2 CH4
(kg CH4/Einheit)]],"")</f>
        <v/>
      </c>
      <c r="AY99" s="15" t="str">
        <f>IFERROR(Kühl_und_Kältemittel[[#This Row],[Wert 
(Zahl)]]*Kühl_und_Kältemittel[[#This Row],[EF Scope 2 N2O
(kg N2O/Einheit)]],"")</f>
        <v/>
      </c>
      <c r="AZ99" s="15" t="str">
        <f>IFERROR(Kühl_und_Kältemittel[[#This Row],[Wert 
(Zahl)]]*Kühl_und_Kältemittel[[#This Row],[EF Scope 2 HFCs
(kg HFCs/Einheit)]],"")</f>
        <v/>
      </c>
      <c r="BA99" s="15" t="str">
        <f>IFERROR(Kühl_und_Kältemittel[[#This Row],[Wert 
(Zahl)]]*Kühl_und_Kältemittel[[#This Row],[EF Scope 2 PFCs
(kg PFCs/Einheit)]],"")</f>
        <v/>
      </c>
      <c r="BB99" s="15" t="str">
        <f>IFERROR(Kühl_und_Kältemittel[[#This Row],[Wert 
(Zahl)]]*Kühl_und_Kältemittel[[#This Row],[EF Scope 2 SF6
(kg SF6/Einheit)]],"")</f>
        <v/>
      </c>
      <c r="BC99" s="15" t="str">
        <f>IFERROR(Kühl_und_Kältemittel[[#This Row],[Wert 
(Zahl)]]*Kühl_und_Kältemittel[[#This Row],[EF Scope 2 NF3
(kg NF3/Einheit)]],"")</f>
        <v/>
      </c>
      <c r="BD99" s="15" t="str">
        <f>IFERROR(Kühl_und_Kältemittel[[#This Row],[Wert 
(Zahl)]]*Kühl_und_Kältemittel[[#This Row],[EF Scope 2 Nicht-Kyoto-Gase (kg Nicht-Kyoto-Gase/Einheit)]],"")</f>
        <v/>
      </c>
      <c r="BE99" s="10" t="str">
        <f>IF(ISBLANK(Kühl_und_Kältemittel[[#This Row],[Wert 
(Zahl)]]),"",IFERROR(Kühl_und_Kältemittel[[#This Row],[Scope 1 CO2 '[kg CO2']]]*IFERROR(VLOOKUP("CO2",GWP_100[],3,FALSE),0),0))</f>
        <v/>
      </c>
      <c r="BF99" s="10" t="str">
        <f>IF(ISBLANK(Kühl_und_Kältemittel[[#This Row],[Wert 
(Zahl)]]),"",IFERROR(Kühl_und_Kältemittel[[#This Row],[Scope 1 CH4 '[kg CH4']]]*IFERROR(VLOOKUP("CH4",GWP_100[],4,FALSE),0),0))</f>
        <v/>
      </c>
      <c r="BG99" s="10" t="str">
        <f>IF(ISBLANK(Kühl_und_Kältemittel[[#This Row],[Wert 
(Zahl)]]),"",IFERROR(Kühl_und_Kältemittel[[#This Row],[Scope 1 N2O '[kg N2O']]]*IFERROR(VLOOKUP("N2O",GWP_100[],5,FALSE),0),0))</f>
        <v/>
      </c>
      <c r="BH99" s="10" t="str">
        <f>IF(ISBLANK(Kühl_und_Kältemittel[[#This Row],[Wert 
(Zahl)]]),"",IFERROR(Kühl_und_Kältemittel[[#This Row],[Scope 1 HFCs '[kg HFCs']]]*IFERROR(VLOOKUP(Kühl_und_Kältemittel[[#This Row],[Emissionsquelle/Aktivität (Dropdown)]],GWP_100[],6,FALSE),0),0))</f>
        <v/>
      </c>
      <c r="BI99" s="10" t="str">
        <f>IF(ISBLANK(Kühl_und_Kältemittel[[#This Row],[Wert 
(Zahl)]]),"",IFERROR(Kühl_und_Kältemittel[[#This Row],[Scope 1 PFCs '[kg PFCs']]]*IFERROR(VLOOKUP(Kühl_und_Kältemittel[[#This Row],[Emissionsquelle/Aktivität (Dropdown)]],GWP_100[],7,FALSE),0),0))</f>
        <v/>
      </c>
      <c r="BJ99" s="10" t="str">
        <f>IF(ISBLANK(Kühl_und_Kältemittel[[#This Row],[Wert 
(Zahl)]]),"",IFERROR(Kühl_und_Kältemittel[[#This Row],[Scope 1 SF6 '[kg SF6']]]*IFERROR(VLOOKUP("SF6",GWP_100[],8,FALSE),0),0))</f>
        <v/>
      </c>
      <c r="BK99" s="10" t="str">
        <f>IF(ISBLANK(Kühl_und_Kältemittel[[#This Row],[Wert 
(Zahl)]]),"",IFERROR(Kühl_und_Kältemittel[[#This Row],[Scope 1 NF3 '[kg NF3']]]*IFERROR(VLOOKUP("NF3",GWP_100[],9,FALSE),0),0))</f>
        <v/>
      </c>
      <c r="BL99" s="10" t="str">
        <f>IF(ISBLANK(Kühl_und_Kältemittel[[#This Row],[Wert 
(Zahl)]]),"",IFERROR(Kühl_und_Kältemittel[[#This Row],[Scope 1 non-Kyoto '[kg non-Kyoto gas']]]*IFERROR(VLOOKUP(Kühl_und_Kältemittel[[#This Row],[Emissionsquelle/Aktivität (Dropdown)]],GWP_100[],10,FALSE),0),0))</f>
        <v/>
      </c>
      <c r="BM99" s="10" t="str">
        <f>IF(ISBLANK(Kühl_und_Kältemittel[[#This Row],[Wert 
(Zahl)]]),"",IFERROR(Kühl_und_Kältemittel[[#This Row],[Scope 2 CO2 '[kg CO2']]]*IFERROR(VLOOKUP("CO2",GWP_100[],3,FALSE),0),0))</f>
        <v/>
      </c>
      <c r="BN99" s="10" t="str">
        <f>IF(ISBLANK(Kühl_und_Kältemittel[[#This Row],[Wert 
(Zahl)]]),"",IFERROR(Kühl_und_Kältemittel[[#This Row],[Scope 2 CH4 '[kg CH4']]]*IFERROR(VLOOKUP("CH4",GWP_100[],4,FALSE),0),0))</f>
        <v/>
      </c>
      <c r="BO99" s="10" t="str">
        <f>IF(ISBLANK(Kühl_und_Kältemittel[[#This Row],[Wert 
(Zahl)]]),"",IFERROR(Kühl_und_Kältemittel[[#This Row],[Scope 2 N2O '[kg N2O']]]*IFERROR(VLOOKUP("N2O",GWP_100[],5,FALSE),0),0))</f>
        <v/>
      </c>
      <c r="BP99" s="10" t="str">
        <f>IF(ISBLANK(Kühl_und_Kältemittel[[#This Row],[Wert 
(Zahl)]]),"",IFERROR(Kühl_und_Kältemittel[[#This Row],[Scope 2 HFCs '[kg HFCs']]]*IFERROR(VLOOKUP(Kühl_und_Kältemittel[[#This Row],[Emissionsquelle/Aktivität (Dropdown)]],GWP_100[],6,FALSE),0),0))</f>
        <v/>
      </c>
      <c r="BQ99" s="10" t="str">
        <f>IF(ISBLANK(Kühl_und_Kältemittel[[#This Row],[Wert 
(Zahl)]]),"",IFERROR(Kühl_und_Kältemittel[[#This Row],[Scope 2 PFCs '[kg PFCs']]]*IFERROR(VLOOKUP(Kühl_und_Kältemittel[[#This Row],[Emissionsquelle/Aktivität (Dropdown)]],GWP_100[],7,FALSE),0),0))</f>
        <v/>
      </c>
      <c r="BR99" s="10" t="str">
        <f>IF(ISBLANK(Kühl_und_Kältemittel[[#This Row],[Wert 
(Zahl)]]),"",IFERROR(Kühl_und_Kältemittel[[#This Row],[Scope 2 SF6 '[kg SF6']]]*IFERROR(VLOOKUP("SF6",GWP_100[],8,FALSE),0),0))</f>
        <v/>
      </c>
      <c r="BS99" s="10" t="str">
        <f>IF(ISBLANK(Kühl_und_Kältemittel[[#This Row],[Wert 
(Zahl)]]),"",IFERROR(Kühl_und_Kältemittel[[#This Row],[Scope 2 NF3 '[kg NF3']]]*IFERROR(VLOOKUP("NF3",GWP_100[],9,FALSE),0),0))</f>
        <v/>
      </c>
      <c r="BT99" s="10" t="str">
        <f>IF(ISBLANK(Kühl_und_Kältemittel[[#This Row],[Wert 
(Zahl)]]),"",IFERROR(Kühl_und_Kältemittel[[#This Row],[Scope 2 non-Kyoto '[kg non-Kyoto gas']]]*IFERROR(VLOOKUP(Kühl_und_Kältemittel[[#This Row],[Emissionsquelle/Aktivität (Dropdown)]],GWP_100[],10,FALSE),0),0))</f>
        <v/>
      </c>
      <c r="BU99"/>
      <c r="BV99"/>
      <c r="BW99"/>
      <c r="BX99"/>
      <c r="BY99"/>
      <c r="BZ99"/>
      <c r="CA99"/>
      <c r="CB99"/>
      <c r="CC99"/>
      <c r="CD99"/>
      <c r="CE99"/>
      <c r="CF99"/>
      <c r="CG99"/>
      <c r="CH99"/>
      <c r="CI99"/>
      <c r="CJ99"/>
      <c r="CK99"/>
      <c r="CL99"/>
      <c r="CM99"/>
      <c r="CN99"/>
    </row>
    <row r="100" spans="2:92" s="89" customFormat="1" x14ac:dyDescent="0.35">
      <c r="B100" s="604"/>
      <c r="C100" s="10" t="str">
        <f t="shared" si="2"/>
        <v>Kühl_und_Kältemittel</v>
      </c>
      <c r="D100" s="90"/>
      <c r="E100" s="90"/>
      <c r="F100" s="288"/>
      <c r="G100" s="10" t="str">
        <f>IFERROR(VLOOKUP(Kühl_und_Kältemittel[[#This Row],[Thema_Bezeichung]],EFs_Kühlmittel[],4,FALSE),"")</f>
        <v/>
      </c>
      <c r="H100" s="90"/>
      <c r="I100" s="90"/>
      <c r="J100" s="90"/>
      <c r="K100" s="284" t="str">
        <f>IF(ISBLANK(Kühl_und_Kältemittel[[#This Row],[Wert 
(Zahl)]]),"", SUM(Kühl_und_Kältemittel[[#This Row],[Scope 1 CO2e '[kg CO2e']]:[Scope 3 CO2e '[kg CO2e']]]))</f>
        <v/>
      </c>
      <c r="L100" s="158"/>
      <c r="M100" s="408"/>
      <c r="N100" s="408"/>
      <c r="O100" s="15" t="str">
        <f>IF(ISBLANK(Kühl_und_Kältemittel[[#This Row],[Emissionsquelle/Aktivität (Dropdown)]]),"",CONCATENATE(Kühl_und_Kältemittel[[#This Row],[Sektor_Thema]]," - ",Kühl_und_Kältemittel[[#This Row],[Emissionsquelle/Aktivität (Dropdown)]]))</f>
        <v/>
      </c>
      <c r="P100" s="15"/>
      <c r="Q100" s="15" t="str">
        <f>IFERROR(VLOOKUP(Kühl_und_Kältemittel[[#This Row],[Thema_Bezeichung]],EFs_Kühlmittel[],5,FALSE),"")</f>
        <v/>
      </c>
      <c r="R100" s="15" t="str">
        <f>IFERROR(VLOOKUP(Kühl_und_Kältemittel[[#This Row],[Thema_Bezeichung]],EFs_Kühlmittel[],6,FALSE),"")</f>
        <v/>
      </c>
      <c r="S100" s="15" t="str">
        <f>IFERROR(VLOOKUP(Kühl_und_Kältemittel[[#This Row],[Thema_Bezeichung]],EFs_Kühlmittel[],7,FALSE),"")</f>
        <v/>
      </c>
      <c r="T100" s="15" t="str">
        <f>IFERROR(VLOOKUP(Kühl_und_Kältemittel[[#This Row],[Thema_Bezeichung]],EFs_Kühlmittel[],8,FALSE),"")</f>
        <v/>
      </c>
      <c r="U100" s="15" t="str">
        <f>IFERROR(VLOOKUP(Kühl_und_Kältemittel[[#This Row],[Thema_Bezeichung]],EFs_Kühlmittel[],9,FALSE),"")</f>
        <v/>
      </c>
      <c r="V100" s="15" t="str">
        <f>IFERROR(VLOOKUP(Kühl_und_Kältemittel[[#This Row],[Thema_Bezeichung]],EFs_Kühlmittel[],10,FALSE),"")</f>
        <v/>
      </c>
      <c r="W100" s="15" t="str">
        <f>IFERROR(VLOOKUP(Kühl_und_Kältemittel[[#This Row],[Thema_Bezeichung]],EFs_Kühlmittel[],11,FALSE),"")</f>
        <v/>
      </c>
      <c r="X100" s="15" t="str">
        <f>IFERROR(VLOOKUP(Kühl_und_Kältemittel[[#This Row],[Thema_Bezeichung]],EFs_Kühlmittel[],12,FALSE),"")</f>
        <v/>
      </c>
      <c r="Y100" s="15" t="str">
        <f>IFERROR(VLOOKUP(Kühl_und_Kältemittel[[#This Row],[Thema_Bezeichung]],EFs_Kühlmittel[],13,FALSE),"")</f>
        <v/>
      </c>
      <c r="Z100" s="15" t="str">
        <f>IFERROR(VLOOKUP(Kühl_und_Kältemittel[[#This Row],[Thema_Bezeichung]],EFs_Kühlmittel[],14,FALSE),"")</f>
        <v/>
      </c>
      <c r="AA100" s="15" t="str">
        <f>IFERROR(VLOOKUP(Kühl_und_Kältemittel[[#This Row],[Thema_Bezeichung]],EFs_Kühlmittel[],15,FALSE),"")</f>
        <v/>
      </c>
      <c r="AB100" s="15" t="str">
        <f>IFERROR(VLOOKUP(Kühl_und_Kältemittel[[#This Row],[Thema_Bezeichung]],EFs_Kühlmittel[],16,FALSE),"")</f>
        <v/>
      </c>
      <c r="AC100" s="15" t="str">
        <f>IFERROR(VLOOKUP(Kühl_und_Kältemittel[[#This Row],[Thema_Bezeichung]],EFs_Kühlmittel[],17,FALSE),"")</f>
        <v/>
      </c>
      <c r="AD100" s="15" t="str">
        <f>IFERROR(VLOOKUP(Kühl_und_Kältemittel[[#This Row],[Thema_Bezeichung]],EFs_Kühlmittel[],18,FALSE),"")</f>
        <v/>
      </c>
      <c r="AE100" s="15" t="str">
        <f>IFERROR(VLOOKUP(Kühl_und_Kältemittel[[#This Row],[Thema_Bezeichung]],EFs_Kühlmittel[],19,FALSE),"")</f>
        <v/>
      </c>
      <c r="AF100" s="15" t="str">
        <f>IFERROR(VLOOKUP(Kühl_und_Kältemittel[[#This Row],[Thema_Bezeichung]],EFs_Kühlmittel[],20,FALSE),"")</f>
        <v/>
      </c>
      <c r="AG100" s="15" t="str">
        <f>IFERROR(VLOOKUP(Kühl_und_Kältemittel[[#This Row],[Thema_Bezeichung]],EFs_Kühlmittel[],21,FALSE),"")</f>
        <v/>
      </c>
      <c r="AH100" s="15" t="str">
        <f>IFERROR(VLOOKUP(Kühl_und_Kältemittel[[#This Row],[Thema_Bezeichung]],EFs_Kühlmittel[],22,FALSE),"")</f>
        <v/>
      </c>
      <c r="AI100" s="15" t="str">
        <f>IFERROR(VLOOKUP(Kühl_und_Kältemittel[[#This Row],[Thema_Bezeichung]],EFs_Kühlmittel[],23,FALSE),"")</f>
        <v/>
      </c>
      <c r="AJ100" s="15" t="str">
        <f>IFERROR(VLOOKUP(Kühl_und_Kältemittel[[#This Row],[Thema_Bezeichung]],EFs_Kühlmittel[],24,FALSE),"")</f>
        <v/>
      </c>
      <c r="AK100" s="15" t="str">
        <f>IFERROR(Kühl_und_Kältemittel[[#This Row],[Wert 
(Zahl)]]*Kühl_und_Kältemittel[[#This Row],[EF Scope 1 CO2e
(kg CO2e/Einheit)]],"")</f>
        <v/>
      </c>
      <c r="AL100" s="15" t="str">
        <f>IFERROR(Kühl_und_Kältemittel[[#This Row],[Wert 
(Zahl)]]*Kühl_und_Kältemittel[[#This Row],[EF Scope 2 CO2e
(kg CO2e/Einheit)]],"")</f>
        <v/>
      </c>
      <c r="AM100" s="15" t="str">
        <f>IFERROR(Kühl_und_Kältemittel[[#This Row],[Wert 
(Zahl)]]*Kühl_und_Kältemittel[[#This Row],[EF Scope 3 CO2e
(kg CO2e/Einheit)]],"")</f>
        <v/>
      </c>
      <c r="AN100" s="15" t="str">
        <f>IFERROR(Kühl_und_Kältemittel[[#This Row],[Wert 
(Zahl)]]*Kühl_und_Kältemittel[[#This Row],[EF Scope 1 CO2 biogen
(kg CO2 /Einheit)]],"")</f>
        <v/>
      </c>
      <c r="AO100" s="15" t="str">
        <f>IFERROR(Kühl_und_Kältemittel[[#This Row],[Wert 
(Zahl)]]*Kühl_und_Kältemittel[[#This Row],[EF Scope 1 CO2
(kg CO2/Einheit)]],"")</f>
        <v/>
      </c>
      <c r="AP100" s="15" t="str">
        <f>IFERROR(Kühl_und_Kältemittel[[#This Row],[Wert 
(Zahl)]]*Kühl_und_Kältemittel[[#This Row],[EF Scope 1 CH4
(kg CH4/Einheit)]],"")</f>
        <v/>
      </c>
      <c r="AQ100" s="15" t="str">
        <f>IFERROR(Kühl_und_Kältemittel[[#This Row],[Wert 
(Zahl)]]*Kühl_und_Kältemittel[[#This Row],[EF Scope 1 N2O
(kg N2O/Einheit)]],"")</f>
        <v/>
      </c>
      <c r="AR100" s="15" t="str">
        <f>IFERROR(Kühl_und_Kältemittel[[#This Row],[Wert 
(Zahl)]]*Kühl_und_Kältemittel[[#This Row],[EF Scope 1 HFCs
(kg HFCs/Einheit)]],"")</f>
        <v/>
      </c>
      <c r="AS100" s="15" t="str">
        <f>IFERROR(Kühl_und_Kältemittel[[#This Row],[Wert 
(Zahl)]]*Kühl_und_Kältemittel[[#This Row],[EF Scope 1 PFCs
(kg PFCs/Einheit)]],"")</f>
        <v/>
      </c>
      <c r="AT100" s="15" t="str">
        <f>IFERROR(Kühl_und_Kältemittel[[#This Row],[Wert 
(Zahl)]]*Kühl_und_Kältemittel[[#This Row],[EF Scope 1 SF6
(kg SF6/Einheit)]],"")</f>
        <v/>
      </c>
      <c r="AU100" s="15" t="str">
        <f>IFERROR(Kühl_und_Kältemittel[[#This Row],[Wert 
(Zahl)]]*Kühl_und_Kältemittel[[#This Row],[EF Scope 1 NF3
(kg NF3/Einheit)]],"")</f>
        <v/>
      </c>
      <c r="AV100" s="15" t="str">
        <f>IFERROR(Kühl_und_Kältemittel[[#This Row],[Wert 
(Zahl)]]*Kühl_und_Kältemittel[[#This Row],[EF Scope 1 Nicht-Kyoto-Gase (kg Nicht-Kyoto-Gase/Einheit)]],"")</f>
        <v/>
      </c>
      <c r="AW100" s="15" t="str">
        <f>IFERROR(Kühl_und_Kältemittel[[#This Row],[Wert 
(Zahl)]]*Kühl_und_Kältemittel[[#This Row],[EF Scope 2 CO2
(kg CO2/Einheit)]],"")</f>
        <v/>
      </c>
      <c r="AX100" s="15" t="str">
        <f>IFERROR(Kühl_und_Kältemittel[[#This Row],[Wert 
(Zahl)]]*Kühl_und_Kältemittel[[#This Row],[EF Scope 2 CH4
(kg CH4/Einheit)]],"")</f>
        <v/>
      </c>
      <c r="AY100" s="15" t="str">
        <f>IFERROR(Kühl_und_Kältemittel[[#This Row],[Wert 
(Zahl)]]*Kühl_und_Kältemittel[[#This Row],[EF Scope 2 N2O
(kg N2O/Einheit)]],"")</f>
        <v/>
      </c>
      <c r="AZ100" s="15" t="str">
        <f>IFERROR(Kühl_und_Kältemittel[[#This Row],[Wert 
(Zahl)]]*Kühl_und_Kältemittel[[#This Row],[EF Scope 2 HFCs
(kg HFCs/Einheit)]],"")</f>
        <v/>
      </c>
      <c r="BA100" s="15" t="str">
        <f>IFERROR(Kühl_und_Kältemittel[[#This Row],[Wert 
(Zahl)]]*Kühl_und_Kältemittel[[#This Row],[EF Scope 2 PFCs
(kg PFCs/Einheit)]],"")</f>
        <v/>
      </c>
      <c r="BB100" s="15" t="str">
        <f>IFERROR(Kühl_und_Kältemittel[[#This Row],[Wert 
(Zahl)]]*Kühl_und_Kältemittel[[#This Row],[EF Scope 2 SF6
(kg SF6/Einheit)]],"")</f>
        <v/>
      </c>
      <c r="BC100" s="15" t="str">
        <f>IFERROR(Kühl_und_Kältemittel[[#This Row],[Wert 
(Zahl)]]*Kühl_und_Kältemittel[[#This Row],[EF Scope 2 NF3
(kg NF3/Einheit)]],"")</f>
        <v/>
      </c>
      <c r="BD100" s="15" t="str">
        <f>IFERROR(Kühl_und_Kältemittel[[#This Row],[Wert 
(Zahl)]]*Kühl_und_Kältemittel[[#This Row],[EF Scope 2 Nicht-Kyoto-Gase (kg Nicht-Kyoto-Gase/Einheit)]],"")</f>
        <v/>
      </c>
      <c r="BE100" s="10" t="str">
        <f>IF(ISBLANK(Kühl_und_Kältemittel[[#This Row],[Wert 
(Zahl)]]),"",IFERROR(Kühl_und_Kältemittel[[#This Row],[Scope 1 CO2 '[kg CO2']]]*IFERROR(VLOOKUP("CO2",GWP_100[],3,FALSE),0),0))</f>
        <v/>
      </c>
      <c r="BF100" s="10" t="str">
        <f>IF(ISBLANK(Kühl_und_Kältemittel[[#This Row],[Wert 
(Zahl)]]),"",IFERROR(Kühl_und_Kältemittel[[#This Row],[Scope 1 CH4 '[kg CH4']]]*IFERROR(VLOOKUP("CH4",GWP_100[],4,FALSE),0),0))</f>
        <v/>
      </c>
      <c r="BG100" s="10" t="str">
        <f>IF(ISBLANK(Kühl_und_Kältemittel[[#This Row],[Wert 
(Zahl)]]),"",IFERROR(Kühl_und_Kältemittel[[#This Row],[Scope 1 N2O '[kg N2O']]]*IFERROR(VLOOKUP("N2O",GWP_100[],5,FALSE),0),0))</f>
        <v/>
      </c>
      <c r="BH100" s="10" t="str">
        <f>IF(ISBLANK(Kühl_und_Kältemittel[[#This Row],[Wert 
(Zahl)]]),"",IFERROR(Kühl_und_Kältemittel[[#This Row],[Scope 1 HFCs '[kg HFCs']]]*IFERROR(VLOOKUP(Kühl_und_Kältemittel[[#This Row],[Emissionsquelle/Aktivität (Dropdown)]],GWP_100[],6,FALSE),0),0))</f>
        <v/>
      </c>
      <c r="BI100" s="10" t="str">
        <f>IF(ISBLANK(Kühl_und_Kältemittel[[#This Row],[Wert 
(Zahl)]]),"",IFERROR(Kühl_und_Kältemittel[[#This Row],[Scope 1 PFCs '[kg PFCs']]]*IFERROR(VLOOKUP(Kühl_und_Kältemittel[[#This Row],[Emissionsquelle/Aktivität (Dropdown)]],GWP_100[],7,FALSE),0),0))</f>
        <v/>
      </c>
      <c r="BJ100" s="10" t="str">
        <f>IF(ISBLANK(Kühl_und_Kältemittel[[#This Row],[Wert 
(Zahl)]]),"",IFERROR(Kühl_und_Kältemittel[[#This Row],[Scope 1 SF6 '[kg SF6']]]*IFERROR(VLOOKUP("SF6",GWP_100[],8,FALSE),0),0))</f>
        <v/>
      </c>
      <c r="BK100" s="10" t="str">
        <f>IF(ISBLANK(Kühl_und_Kältemittel[[#This Row],[Wert 
(Zahl)]]),"",IFERROR(Kühl_und_Kältemittel[[#This Row],[Scope 1 NF3 '[kg NF3']]]*IFERROR(VLOOKUP("NF3",GWP_100[],9,FALSE),0),0))</f>
        <v/>
      </c>
      <c r="BL100" s="10" t="str">
        <f>IF(ISBLANK(Kühl_und_Kältemittel[[#This Row],[Wert 
(Zahl)]]),"",IFERROR(Kühl_und_Kältemittel[[#This Row],[Scope 1 non-Kyoto '[kg non-Kyoto gas']]]*IFERROR(VLOOKUP(Kühl_und_Kältemittel[[#This Row],[Emissionsquelle/Aktivität (Dropdown)]],GWP_100[],10,FALSE),0),0))</f>
        <v/>
      </c>
      <c r="BM100" s="10" t="str">
        <f>IF(ISBLANK(Kühl_und_Kältemittel[[#This Row],[Wert 
(Zahl)]]),"",IFERROR(Kühl_und_Kältemittel[[#This Row],[Scope 2 CO2 '[kg CO2']]]*IFERROR(VLOOKUP("CO2",GWP_100[],3,FALSE),0),0))</f>
        <v/>
      </c>
      <c r="BN100" s="10" t="str">
        <f>IF(ISBLANK(Kühl_und_Kältemittel[[#This Row],[Wert 
(Zahl)]]),"",IFERROR(Kühl_und_Kältemittel[[#This Row],[Scope 2 CH4 '[kg CH4']]]*IFERROR(VLOOKUP("CH4",GWP_100[],4,FALSE),0),0))</f>
        <v/>
      </c>
      <c r="BO100" s="10" t="str">
        <f>IF(ISBLANK(Kühl_und_Kältemittel[[#This Row],[Wert 
(Zahl)]]),"",IFERROR(Kühl_und_Kältemittel[[#This Row],[Scope 2 N2O '[kg N2O']]]*IFERROR(VLOOKUP("N2O",GWP_100[],5,FALSE),0),0))</f>
        <v/>
      </c>
      <c r="BP100" s="10" t="str">
        <f>IF(ISBLANK(Kühl_und_Kältemittel[[#This Row],[Wert 
(Zahl)]]),"",IFERROR(Kühl_und_Kältemittel[[#This Row],[Scope 2 HFCs '[kg HFCs']]]*IFERROR(VLOOKUP(Kühl_und_Kältemittel[[#This Row],[Emissionsquelle/Aktivität (Dropdown)]],GWP_100[],6,FALSE),0),0))</f>
        <v/>
      </c>
      <c r="BQ100" s="10" t="str">
        <f>IF(ISBLANK(Kühl_und_Kältemittel[[#This Row],[Wert 
(Zahl)]]),"",IFERROR(Kühl_und_Kältemittel[[#This Row],[Scope 2 PFCs '[kg PFCs']]]*IFERROR(VLOOKUP(Kühl_und_Kältemittel[[#This Row],[Emissionsquelle/Aktivität (Dropdown)]],GWP_100[],7,FALSE),0),0))</f>
        <v/>
      </c>
      <c r="BR100" s="10" t="str">
        <f>IF(ISBLANK(Kühl_und_Kältemittel[[#This Row],[Wert 
(Zahl)]]),"",IFERROR(Kühl_und_Kältemittel[[#This Row],[Scope 2 SF6 '[kg SF6']]]*IFERROR(VLOOKUP("SF6",GWP_100[],8,FALSE),0),0))</f>
        <v/>
      </c>
      <c r="BS100" s="10" t="str">
        <f>IF(ISBLANK(Kühl_und_Kältemittel[[#This Row],[Wert 
(Zahl)]]),"",IFERROR(Kühl_und_Kältemittel[[#This Row],[Scope 2 NF3 '[kg NF3']]]*IFERROR(VLOOKUP("NF3",GWP_100[],9,FALSE),0),0))</f>
        <v/>
      </c>
      <c r="BT100" s="10" t="str">
        <f>IF(ISBLANK(Kühl_und_Kältemittel[[#This Row],[Wert 
(Zahl)]]),"",IFERROR(Kühl_und_Kältemittel[[#This Row],[Scope 2 non-Kyoto '[kg non-Kyoto gas']]]*IFERROR(VLOOKUP(Kühl_und_Kältemittel[[#This Row],[Emissionsquelle/Aktivität (Dropdown)]],GWP_100[],10,FALSE),0),0))</f>
        <v/>
      </c>
      <c r="BU100"/>
      <c r="BV100"/>
      <c r="BW100"/>
      <c r="BX100"/>
      <c r="BY100"/>
      <c r="BZ100"/>
      <c r="CA100"/>
      <c r="CB100"/>
      <c r="CC100"/>
      <c r="CD100"/>
      <c r="CE100"/>
      <c r="CF100"/>
      <c r="CG100"/>
      <c r="CH100"/>
      <c r="CI100"/>
      <c r="CJ100"/>
      <c r="CK100"/>
      <c r="CL100"/>
      <c r="CM100"/>
      <c r="CN100"/>
    </row>
    <row r="101" spans="2:92" s="89" customFormat="1" x14ac:dyDescent="0.35">
      <c r="B101" s="604"/>
      <c r="C101" s="90" t="str">
        <f t="shared" si="2"/>
        <v>Kühl_und_Kältemittel</v>
      </c>
      <c r="D101" s="90"/>
      <c r="E101" s="90"/>
      <c r="F101" s="288"/>
      <c r="G101" s="90" t="str">
        <f>IFERROR(VLOOKUP(Kühl_und_Kältemittel[[#This Row],[Thema_Bezeichung]],EFs_Kühlmittel[],4,FALSE),"")</f>
        <v/>
      </c>
      <c r="H101" s="90"/>
      <c r="I101" s="90"/>
      <c r="J101" s="90"/>
      <c r="K101" s="285" t="str">
        <f>IF(ISBLANK(Kühl_und_Kältemittel[[#This Row],[Wert 
(Zahl)]]),"", SUM(Kühl_und_Kältemittel[[#This Row],[Scope 1 CO2e '[kg CO2e']]:[Scope 3 CO2e '[kg CO2e']]]))</f>
        <v/>
      </c>
      <c r="L101" s="159"/>
      <c r="M101" s="409"/>
      <c r="N101" s="409"/>
      <c r="O101" s="94" t="str">
        <f>IF(ISBLANK(Kühl_und_Kältemittel[[#This Row],[Emissionsquelle/Aktivität (Dropdown)]]),"",CONCATENATE(Kühl_und_Kältemittel[[#This Row],[Sektor_Thema]]," - ",Kühl_und_Kältemittel[[#This Row],[Emissionsquelle/Aktivität (Dropdown)]]))</f>
        <v/>
      </c>
      <c r="P101" s="94"/>
      <c r="Q101" s="94" t="str">
        <f>IFERROR(VLOOKUP(Kühl_und_Kältemittel[[#This Row],[Thema_Bezeichung]],EFs_Kühlmittel[],5,FALSE),"")</f>
        <v/>
      </c>
      <c r="R101" s="94" t="str">
        <f>IFERROR(VLOOKUP(Kühl_und_Kältemittel[[#This Row],[Thema_Bezeichung]],EFs_Kühlmittel[],6,FALSE),"")</f>
        <v/>
      </c>
      <c r="S101" s="94" t="str">
        <f>IFERROR(VLOOKUP(Kühl_und_Kältemittel[[#This Row],[Thema_Bezeichung]],EFs_Kühlmittel[],7,FALSE),"")</f>
        <v/>
      </c>
      <c r="T101" s="94" t="str">
        <f>IFERROR(VLOOKUP(Kühl_und_Kältemittel[[#This Row],[Thema_Bezeichung]],EFs_Kühlmittel[],8,FALSE),"")</f>
        <v/>
      </c>
      <c r="U101" s="94" t="str">
        <f>IFERROR(VLOOKUP(Kühl_und_Kältemittel[[#This Row],[Thema_Bezeichung]],EFs_Kühlmittel[],9,FALSE),"")</f>
        <v/>
      </c>
      <c r="V101" s="94" t="str">
        <f>IFERROR(VLOOKUP(Kühl_und_Kältemittel[[#This Row],[Thema_Bezeichung]],EFs_Kühlmittel[],10,FALSE),"")</f>
        <v/>
      </c>
      <c r="W101" s="94" t="str">
        <f>IFERROR(VLOOKUP(Kühl_und_Kältemittel[[#This Row],[Thema_Bezeichung]],EFs_Kühlmittel[],11,FALSE),"")</f>
        <v/>
      </c>
      <c r="X101" s="94" t="str">
        <f>IFERROR(VLOOKUP(Kühl_und_Kältemittel[[#This Row],[Thema_Bezeichung]],EFs_Kühlmittel[],12,FALSE),"")</f>
        <v/>
      </c>
      <c r="Y101" s="94" t="str">
        <f>IFERROR(VLOOKUP(Kühl_und_Kältemittel[[#This Row],[Thema_Bezeichung]],EFs_Kühlmittel[],13,FALSE),"")</f>
        <v/>
      </c>
      <c r="Z101" s="94" t="str">
        <f>IFERROR(VLOOKUP(Kühl_und_Kältemittel[[#This Row],[Thema_Bezeichung]],EFs_Kühlmittel[],14,FALSE),"")</f>
        <v/>
      </c>
      <c r="AA101" s="94" t="str">
        <f>IFERROR(VLOOKUP(Kühl_und_Kältemittel[[#This Row],[Thema_Bezeichung]],EFs_Kühlmittel[],15,FALSE),"")</f>
        <v/>
      </c>
      <c r="AB101" s="94" t="str">
        <f>IFERROR(VLOOKUP(Kühl_und_Kältemittel[[#This Row],[Thema_Bezeichung]],EFs_Kühlmittel[],16,FALSE),"")</f>
        <v/>
      </c>
      <c r="AC101" s="94" t="str">
        <f>IFERROR(VLOOKUP(Kühl_und_Kältemittel[[#This Row],[Thema_Bezeichung]],EFs_Kühlmittel[],17,FALSE),"")</f>
        <v/>
      </c>
      <c r="AD101" s="94" t="str">
        <f>IFERROR(VLOOKUP(Kühl_und_Kältemittel[[#This Row],[Thema_Bezeichung]],EFs_Kühlmittel[],18,FALSE),"")</f>
        <v/>
      </c>
      <c r="AE101" s="94" t="str">
        <f>IFERROR(VLOOKUP(Kühl_und_Kältemittel[[#This Row],[Thema_Bezeichung]],EFs_Kühlmittel[],19,FALSE),"")</f>
        <v/>
      </c>
      <c r="AF101" s="94" t="str">
        <f>IFERROR(VLOOKUP(Kühl_und_Kältemittel[[#This Row],[Thema_Bezeichung]],EFs_Kühlmittel[],20,FALSE),"")</f>
        <v/>
      </c>
      <c r="AG101" s="94" t="str">
        <f>IFERROR(VLOOKUP(Kühl_und_Kältemittel[[#This Row],[Thema_Bezeichung]],EFs_Kühlmittel[],21,FALSE),"")</f>
        <v/>
      </c>
      <c r="AH101" s="94" t="str">
        <f>IFERROR(VLOOKUP(Kühl_und_Kältemittel[[#This Row],[Thema_Bezeichung]],EFs_Kühlmittel[],22,FALSE),"")</f>
        <v/>
      </c>
      <c r="AI101" s="94" t="str">
        <f>IFERROR(VLOOKUP(Kühl_und_Kältemittel[[#This Row],[Thema_Bezeichung]],EFs_Kühlmittel[],23,FALSE),"")</f>
        <v/>
      </c>
      <c r="AJ101" s="94" t="str">
        <f>IFERROR(VLOOKUP(Kühl_und_Kältemittel[[#This Row],[Thema_Bezeichung]],EFs_Kühlmittel[],24,FALSE),"")</f>
        <v/>
      </c>
      <c r="AK101" s="94" t="str">
        <f>IFERROR(Kühl_und_Kältemittel[[#This Row],[Wert 
(Zahl)]]*Kühl_und_Kältemittel[[#This Row],[EF Scope 1 CO2e
(kg CO2e/Einheit)]],"")</f>
        <v/>
      </c>
      <c r="AL101" s="94" t="str">
        <f>IFERROR(Kühl_und_Kältemittel[[#This Row],[Wert 
(Zahl)]]*Kühl_und_Kältemittel[[#This Row],[EF Scope 2 CO2e
(kg CO2e/Einheit)]],"")</f>
        <v/>
      </c>
      <c r="AM101" s="94" t="str">
        <f>IFERROR(Kühl_und_Kältemittel[[#This Row],[Wert 
(Zahl)]]*Kühl_und_Kältemittel[[#This Row],[EF Scope 3 CO2e
(kg CO2e/Einheit)]],"")</f>
        <v/>
      </c>
      <c r="AN101" s="94" t="str">
        <f>IFERROR(Kühl_und_Kältemittel[[#This Row],[Wert 
(Zahl)]]*Kühl_und_Kältemittel[[#This Row],[EF Scope 1 CO2 biogen
(kg CO2 /Einheit)]],"")</f>
        <v/>
      </c>
      <c r="AO101" s="94" t="str">
        <f>IFERROR(Kühl_und_Kältemittel[[#This Row],[Wert 
(Zahl)]]*Kühl_und_Kältemittel[[#This Row],[EF Scope 1 CO2
(kg CO2/Einheit)]],"")</f>
        <v/>
      </c>
      <c r="AP101" s="94" t="str">
        <f>IFERROR(Kühl_und_Kältemittel[[#This Row],[Wert 
(Zahl)]]*Kühl_und_Kältemittel[[#This Row],[EF Scope 1 CH4
(kg CH4/Einheit)]],"")</f>
        <v/>
      </c>
      <c r="AQ101" s="94" t="str">
        <f>IFERROR(Kühl_und_Kältemittel[[#This Row],[Wert 
(Zahl)]]*Kühl_und_Kältemittel[[#This Row],[EF Scope 1 N2O
(kg N2O/Einheit)]],"")</f>
        <v/>
      </c>
      <c r="AR101" s="94" t="str">
        <f>IFERROR(Kühl_und_Kältemittel[[#This Row],[Wert 
(Zahl)]]*Kühl_und_Kältemittel[[#This Row],[EF Scope 1 HFCs
(kg HFCs/Einheit)]],"")</f>
        <v/>
      </c>
      <c r="AS101" s="94" t="str">
        <f>IFERROR(Kühl_und_Kältemittel[[#This Row],[Wert 
(Zahl)]]*Kühl_und_Kältemittel[[#This Row],[EF Scope 1 PFCs
(kg PFCs/Einheit)]],"")</f>
        <v/>
      </c>
      <c r="AT101" s="94" t="str">
        <f>IFERROR(Kühl_und_Kältemittel[[#This Row],[Wert 
(Zahl)]]*Kühl_und_Kältemittel[[#This Row],[EF Scope 1 SF6
(kg SF6/Einheit)]],"")</f>
        <v/>
      </c>
      <c r="AU101" s="94" t="str">
        <f>IFERROR(Kühl_und_Kältemittel[[#This Row],[Wert 
(Zahl)]]*Kühl_und_Kältemittel[[#This Row],[EF Scope 1 NF3
(kg NF3/Einheit)]],"")</f>
        <v/>
      </c>
      <c r="AV101" s="94" t="str">
        <f>IFERROR(Kühl_und_Kältemittel[[#This Row],[Wert 
(Zahl)]]*Kühl_und_Kältemittel[[#This Row],[EF Scope 1 Nicht-Kyoto-Gase (kg Nicht-Kyoto-Gase/Einheit)]],"")</f>
        <v/>
      </c>
      <c r="AW101" s="94" t="str">
        <f>IFERROR(Kühl_und_Kältemittel[[#This Row],[Wert 
(Zahl)]]*Kühl_und_Kältemittel[[#This Row],[EF Scope 2 CO2
(kg CO2/Einheit)]],"")</f>
        <v/>
      </c>
      <c r="AX101" s="94" t="str">
        <f>IFERROR(Kühl_und_Kältemittel[[#This Row],[Wert 
(Zahl)]]*Kühl_und_Kältemittel[[#This Row],[EF Scope 2 CH4
(kg CH4/Einheit)]],"")</f>
        <v/>
      </c>
      <c r="AY101" s="94" t="str">
        <f>IFERROR(Kühl_und_Kältemittel[[#This Row],[Wert 
(Zahl)]]*Kühl_und_Kältemittel[[#This Row],[EF Scope 2 N2O
(kg N2O/Einheit)]],"")</f>
        <v/>
      </c>
      <c r="AZ101" s="94" t="str">
        <f>IFERROR(Kühl_und_Kältemittel[[#This Row],[Wert 
(Zahl)]]*Kühl_und_Kältemittel[[#This Row],[EF Scope 2 HFCs
(kg HFCs/Einheit)]],"")</f>
        <v/>
      </c>
      <c r="BA101" s="94" t="str">
        <f>IFERROR(Kühl_und_Kältemittel[[#This Row],[Wert 
(Zahl)]]*Kühl_und_Kältemittel[[#This Row],[EF Scope 2 PFCs
(kg PFCs/Einheit)]],"")</f>
        <v/>
      </c>
      <c r="BB101" s="94" t="str">
        <f>IFERROR(Kühl_und_Kältemittel[[#This Row],[Wert 
(Zahl)]]*Kühl_und_Kältemittel[[#This Row],[EF Scope 2 SF6
(kg SF6/Einheit)]],"")</f>
        <v/>
      </c>
      <c r="BC101" s="94" t="str">
        <f>IFERROR(Kühl_und_Kältemittel[[#This Row],[Wert 
(Zahl)]]*Kühl_und_Kältemittel[[#This Row],[EF Scope 2 NF3
(kg NF3/Einheit)]],"")</f>
        <v/>
      </c>
      <c r="BD101" s="94" t="str">
        <f>IFERROR(Kühl_und_Kältemittel[[#This Row],[Wert 
(Zahl)]]*Kühl_und_Kältemittel[[#This Row],[EF Scope 2 Nicht-Kyoto-Gase (kg Nicht-Kyoto-Gase/Einheit)]],"")</f>
        <v/>
      </c>
      <c r="BE101" s="90" t="str">
        <f>IF(ISBLANK(Kühl_und_Kältemittel[[#This Row],[Wert 
(Zahl)]]),"",IFERROR(Kühl_und_Kältemittel[[#This Row],[Scope 1 CO2 '[kg CO2']]]*IFERROR(VLOOKUP("CO2",GWP_100[],3,FALSE),0),0))</f>
        <v/>
      </c>
      <c r="BF101" s="90" t="str">
        <f>IF(ISBLANK(Kühl_und_Kältemittel[[#This Row],[Wert 
(Zahl)]]),"",IFERROR(Kühl_und_Kältemittel[[#This Row],[Scope 1 CH4 '[kg CH4']]]*IFERROR(VLOOKUP("CH4",GWP_100[],4,FALSE),0),0))</f>
        <v/>
      </c>
      <c r="BG101" s="90" t="str">
        <f>IF(ISBLANK(Kühl_und_Kältemittel[[#This Row],[Wert 
(Zahl)]]),"",IFERROR(Kühl_und_Kältemittel[[#This Row],[Scope 1 N2O '[kg N2O']]]*IFERROR(VLOOKUP("N2O",GWP_100[],5,FALSE),0),0))</f>
        <v/>
      </c>
      <c r="BH101" s="90" t="str">
        <f>IF(ISBLANK(Kühl_und_Kältemittel[[#This Row],[Wert 
(Zahl)]]),"",IFERROR(Kühl_und_Kältemittel[[#This Row],[Scope 1 HFCs '[kg HFCs']]]*IFERROR(VLOOKUP(Kühl_und_Kältemittel[[#This Row],[Emissionsquelle/Aktivität (Dropdown)]],GWP_100[],6,FALSE),0),0))</f>
        <v/>
      </c>
      <c r="BI101" s="90" t="str">
        <f>IF(ISBLANK(Kühl_und_Kältemittel[[#This Row],[Wert 
(Zahl)]]),"",IFERROR(Kühl_und_Kältemittel[[#This Row],[Scope 1 PFCs '[kg PFCs']]]*IFERROR(VLOOKUP(Kühl_und_Kältemittel[[#This Row],[Emissionsquelle/Aktivität (Dropdown)]],GWP_100[],7,FALSE),0),0))</f>
        <v/>
      </c>
      <c r="BJ101" s="90" t="str">
        <f>IF(ISBLANK(Kühl_und_Kältemittel[[#This Row],[Wert 
(Zahl)]]),"",IFERROR(Kühl_und_Kältemittel[[#This Row],[Scope 1 SF6 '[kg SF6']]]*IFERROR(VLOOKUP("SF6",GWP_100[],8,FALSE),0),0))</f>
        <v/>
      </c>
      <c r="BK101" s="90" t="str">
        <f>IF(ISBLANK(Kühl_und_Kältemittel[[#This Row],[Wert 
(Zahl)]]),"",IFERROR(Kühl_und_Kältemittel[[#This Row],[Scope 1 NF3 '[kg NF3']]]*IFERROR(VLOOKUP("NF3",GWP_100[],9,FALSE),0),0))</f>
        <v/>
      </c>
      <c r="BL101" s="90" t="str">
        <f>IF(ISBLANK(Kühl_und_Kältemittel[[#This Row],[Wert 
(Zahl)]]),"",IFERROR(Kühl_und_Kältemittel[[#This Row],[Scope 1 non-Kyoto '[kg non-Kyoto gas']]]*IFERROR(VLOOKUP(Kühl_und_Kältemittel[[#This Row],[Emissionsquelle/Aktivität (Dropdown)]],GWP_100[],10,FALSE),0),0))</f>
        <v/>
      </c>
      <c r="BM101" s="90" t="str">
        <f>IF(ISBLANK(Kühl_und_Kältemittel[[#This Row],[Wert 
(Zahl)]]),"",IFERROR(Kühl_und_Kältemittel[[#This Row],[Scope 2 CO2 '[kg CO2']]]*IFERROR(VLOOKUP("CO2",GWP_100[],3,FALSE),0),0))</f>
        <v/>
      </c>
      <c r="BN101" s="90" t="str">
        <f>IF(ISBLANK(Kühl_und_Kältemittel[[#This Row],[Wert 
(Zahl)]]),"",IFERROR(Kühl_und_Kältemittel[[#This Row],[Scope 2 CH4 '[kg CH4']]]*IFERROR(VLOOKUP("CH4",GWP_100[],4,FALSE),0),0))</f>
        <v/>
      </c>
      <c r="BO101" s="90" t="str">
        <f>IF(ISBLANK(Kühl_und_Kältemittel[[#This Row],[Wert 
(Zahl)]]),"",IFERROR(Kühl_und_Kältemittel[[#This Row],[Scope 2 N2O '[kg N2O']]]*IFERROR(VLOOKUP("N2O",GWP_100[],5,FALSE),0),0))</f>
        <v/>
      </c>
      <c r="BP101" s="90" t="str">
        <f>IF(ISBLANK(Kühl_und_Kältemittel[[#This Row],[Wert 
(Zahl)]]),"",IFERROR(Kühl_und_Kältemittel[[#This Row],[Scope 2 HFCs '[kg HFCs']]]*IFERROR(VLOOKUP(Kühl_und_Kältemittel[[#This Row],[Emissionsquelle/Aktivität (Dropdown)]],GWP_100[],6,FALSE),0),0))</f>
        <v/>
      </c>
      <c r="BQ101" s="90" t="str">
        <f>IF(ISBLANK(Kühl_und_Kältemittel[[#This Row],[Wert 
(Zahl)]]),"",IFERROR(Kühl_und_Kältemittel[[#This Row],[Scope 2 PFCs '[kg PFCs']]]*IFERROR(VLOOKUP(Kühl_und_Kältemittel[[#This Row],[Emissionsquelle/Aktivität (Dropdown)]],GWP_100[],7,FALSE),0),0))</f>
        <v/>
      </c>
      <c r="BR101" s="90" t="str">
        <f>IF(ISBLANK(Kühl_und_Kältemittel[[#This Row],[Wert 
(Zahl)]]),"",IFERROR(Kühl_und_Kältemittel[[#This Row],[Scope 2 SF6 '[kg SF6']]]*IFERROR(VLOOKUP("SF6",GWP_100[],8,FALSE),0),0))</f>
        <v/>
      </c>
      <c r="BS101" s="90" t="str">
        <f>IF(ISBLANK(Kühl_und_Kältemittel[[#This Row],[Wert 
(Zahl)]]),"",IFERROR(Kühl_und_Kältemittel[[#This Row],[Scope 2 NF3 '[kg NF3']]]*IFERROR(VLOOKUP("NF3",GWP_100[],9,FALSE),0),0))</f>
        <v/>
      </c>
      <c r="BT101" s="90" t="str">
        <f>IF(ISBLANK(Kühl_und_Kältemittel[[#This Row],[Wert 
(Zahl)]]),"",IFERROR(Kühl_und_Kältemittel[[#This Row],[Scope 2 non-Kyoto '[kg non-Kyoto gas']]]*IFERROR(VLOOKUP(Kühl_und_Kältemittel[[#This Row],[Emissionsquelle/Aktivität (Dropdown)]],GWP_100[],10,FALSE),0),0))</f>
        <v/>
      </c>
      <c r="BU101"/>
      <c r="BV101"/>
      <c r="BW101"/>
      <c r="BX101"/>
      <c r="BY101"/>
      <c r="BZ101"/>
      <c r="CA101"/>
      <c r="CB101"/>
      <c r="CC101"/>
      <c r="CD101"/>
      <c r="CE101"/>
      <c r="CF101"/>
      <c r="CG101"/>
      <c r="CH101"/>
      <c r="CI101"/>
      <c r="CJ101"/>
      <c r="CK101"/>
      <c r="CL101"/>
      <c r="CM101"/>
      <c r="CN101"/>
    </row>
    <row r="102" spans="2:92" s="89" customFormat="1" ht="15" thickBot="1" x14ac:dyDescent="0.4">
      <c r="B102" s="605"/>
      <c r="C102" s="90" t="str">
        <f t="shared" si="2"/>
        <v>Kühl_und_Kältemittel</v>
      </c>
      <c r="D102" s="90"/>
      <c r="E102" s="90"/>
      <c r="F102" s="288"/>
      <c r="G102" s="90" t="str">
        <f>IFERROR(VLOOKUP(Kühl_und_Kältemittel[[#This Row],[Thema_Bezeichung]],EFs_Kühlmittel[],4,FALSE),"")</f>
        <v/>
      </c>
      <c r="H102" s="90"/>
      <c r="I102" s="90"/>
      <c r="J102" s="90"/>
      <c r="K102" s="285" t="str">
        <f>IF(ISBLANK(Kühl_und_Kältemittel[[#This Row],[Wert 
(Zahl)]]),"", SUM(Kühl_und_Kältemittel[[#This Row],[Scope 1 CO2e '[kg CO2e']]:[Scope 3 CO2e '[kg CO2e']]]))</f>
        <v/>
      </c>
      <c r="L102" s="159"/>
      <c r="M102" s="409"/>
      <c r="N102" s="409"/>
      <c r="O102" s="94" t="str">
        <f>IF(ISBLANK(Kühl_und_Kältemittel[[#This Row],[Emissionsquelle/Aktivität (Dropdown)]]),"",CONCATENATE(Kühl_und_Kältemittel[[#This Row],[Sektor_Thema]]," - ",Kühl_und_Kältemittel[[#This Row],[Emissionsquelle/Aktivität (Dropdown)]]))</f>
        <v/>
      </c>
      <c r="P102" s="94"/>
      <c r="Q102" s="94" t="str">
        <f>IFERROR(VLOOKUP(Kühl_und_Kältemittel[[#This Row],[Thema_Bezeichung]],EFs_Kühlmittel[],5,FALSE),"")</f>
        <v/>
      </c>
      <c r="R102" s="94" t="str">
        <f>IFERROR(VLOOKUP(Kühl_und_Kältemittel[[#This Row],[Thema_Bezeichung]],EFs_Kühlmittel[],6,FALSE),"")</f>
        <v/>
      </c>
      <c r="S102" s="94" t="str">
        <f>IFERROR(VLOOKUP(Kühl_und_Kältemittel[[#This Row],[Thema_Bezeichung]],EFs_Kühlmittel[],7,FALSE),"")</f>
        <v/>
      </c>
      <c r="T102" s="94" t="str">
        <f>IFERROR(VLOOKUP(Kühl_und_Kältemittel[[#This Row],[Thema_Bezeichung]],EFs_Kühlmittel[],8,FALSE),"")</f>
        <v/>
      </c>
      <c r="U102" s="94" t="str">
        <f>IFERROR(VLOOKUP(Kühl_und_Kältemittel[[#This Row],[Thema_Bezeichung]],EFs_Kühlmittel[],9,FALSE),"")</f>
        <v/>
      </c>
      <c r="V102" s="94" t="str">
        <f>IFERROR(VLOOKUP(Kühl_und_Kältemittel[[#This Row],[Thema_Bezeichung]],EFs_Kühlmittel[],10,FALSE),"")</f>
        <v/>
      </c>
      <c r="W102" s="94" t="str">
        <f>IFERROR(VLOOKUP(Kühl_und_Kältemittel[[#This Row],[Thema_Bezeichung]],EFs_Kühlmittel[],11,FALSE),"")</f>
        <v/>
      </c>
      <c r="X102" s="94" t="str">
        <f>IFERROR(VLOOKUP(Kühl_und_Kältemittel[[#This Row],[Thema_Bezeichung]],EFs_Kühlmittel[],12,FALSE),"")</f>
        <v/>
      </c>
      <c r="Y102" s="94" t="str">
        <f>IFERROR(VLOOKUP(Kühl_und_Kältemittel[[#This Row],[Thema_Bezeichung]],EFs_Kühlmittel[],13,FALSE),"")</f>
        <v/>
      </c>
      <c r="Z102" s="94" t="str">
        <f>IFERROR(VLOOKUP(Kühl_und_Kältemittel[[#This Row],[Thema_Bezeichung]],EFs_Kühlmittel[],14,FALSE),"")</f>
        <v/>
      </c>
      <c r="AA102" s="94" t="str">
        <f>IFERROR(VLOOKUP(Kühl_und_Kältemittel[[#This Row],[Thema_Bezeichung]],EFs_Kühlmittel[],15,FALSE),"")</f>
        <v/>
      </c>
      <c r="AB102" s="94" t="str">
        <f>IFERROR(VLOOKUP(Kühl_und_Kältemittel[[#This Row],[Thema_Bezeichung]],EFs_Kühlmittel[],16,FALSE),"")</f>
        <v/>
      </c>
      <c r="AC102" s="94" t="str">
        <f>IFERROR(VLOOKUP(Kühl_und_Kältemittel[[#This Row],[Thema_Bezeichung]],EFs_Kühlmittel[],17,FALSE),"")</f>
        <v/>
      </c>
      <c r="AD102" s="94" t="str">
        <f>IFERROR(VLOOKUP(Kühl_und_Kältemittel[[#This Row],[Thema_Bezeichung]],EFs_Kühlmittel[],18,FALSE),"")</f>
        <v/>
      </c>
      <c r="AE102" s="94" t="str">
        <f>IFERROR(VLOOKUP(Kühl_und_Kältemittel[[#This Row],[Thema_Bezeichung]],EFs_Kühlmittel[],19,FALSE),"")</f>
        <v/>
      </c>
      <c r="AF102" s="94" t="str">
        <f>IFERROR(VLOOKUP(Kühl_und_Kältemittel[[#This Row],[Thema_Bezeichung]],EFs_Kühlmittel[],20,FALSE),"")</f>
        <v/>
      </c>
      <c r="AG102" s="94" t="str">
        <f>IFERROR(VLOOKUP(Kühl_und_Kältemittel[[#This Row],[Thema_Bezeichung]],EFs_Kühlmittel[],21,FALSE),"")</f>
        <v/>
      </c>
      <c r="AH102" s="94" t="str">
        <f>IFERROR(VLOOKUP(Kühl_und_Kältemittel[[#This Row],[Thema_Bezeichung]],EFs_Kühlmittel[],22,FALSE),"")</f>
        <v/>
      </c>
      <c r="AI102" s="94" t="str">
        <f>IFERROR(VLOOKUP(Kühl_und_Kältemittel[[#This Row],[Thema_Bezeichung]],EFs_Kühlmittel[],23,FALSE),"")</f>
        <v/>
      </c>
      <c r="AJ102" s="94" t="str">
        <f>IFERROR(VLOOKUP(Kühl_und_Kältemittel[[#This Row],[Thema_Bezeichung]],EFs_Kühlmittel[],24,FALSE),"")</f>
        <v/>
      </c>
      <c r="AK102" s="94" t="str">
        <f>IFERROR(Kühl_und_Kältemittel[[#This Row],[Wert 
(Zahl)]]*Kühl_und_Kältemittel[[#This Row],[EF Scope 1 CO2e
(kg CO2e/Einheit)]],"")</f>
        <v/>
      </c>
      <c r="AL102" s="94" t="str">
        <f>IFERROR(Kühl_und_Kältemittel[[#This Row],[Wert 
(Zahl)]]*Kühl_und_Kältemittel[[#This Row],[EF Scope 2 CO2e
(kg CO2e/Einheit)]],"")</f>
        <v/>
      </c>
      <c r="AM102" s="94" t="str">
        <f>IFERROR(Kühl_und_Kältemittel[[#This Row],[Wert 
(Zahl)]]*Kühl_und_Kältemittel[[#This Row],[EF Scope 3 CO2e
(kg CO2e/Einheit)]],"")</f>
        <v/>
      </c>
      <c r="AN102" s="94" t="str">
        <f>IFERROR(Kühl_und_Kältemittel[[#This Row],[Wert 
(Zahl)]]*Kühl_und_Kältemittel[[#This Row],[EF Scope 1 CO2 biogen
(kg CO2 /Einheit)]],"")</f>
        <v/>
      </c>
      <c r="AO102" s="94" t="str">
        <f>IFERROR(Kühl_und_Kältemittel[[#This Row],[Wert 
(Zahl)]]*Kühl_und_Kältemittel[[#This Row],[EF Scope 1 CO2
(kg CO2/Einheit)]],"")</f>
        <v/>
      </c>
      <c r="AP102" s="94" t="str">
        <f>IFERROR(Kühl_und_Kältemittel[[#This Row],[Wert 
(Zahl)]]*Kühl_und_Kältemittel[[#This Row],[EF Scope 1 CH4
(kg CH4/Einheit)]],"")</f>
        <v/>
      </c>
      <c r="AQ102" s="94" t="str">
        <f>IFERROR(Kühl_und_Kältemittel[[#This Row],[Wert 
(Zahl)]]*Kühl_und_Kältemittel[[#This Row],[EF Scope 1 N2O
(kg N2O/Einheit)]],"")</f>
        <v/>
      </c>
      <c r="AR102" s="94" t="str">
        <f>IFERROR(Kühl_und_Kältemittel[[#This Row],[Wert 
(Zahl)]]*Kühl_und_Kältemittel[[#This Row],[EF Scope 1 HFCs
(kg HFCs/Einheit)]],"")</f>
        <v/>
      </c>
      <c r="AS102" s="94" t="str">
        <f>IFERROR(Kühl_und_Kältemittel[[#This Row],[Wert 
(Zahl)]]*Kühl_und_Kältemittel[[#This Row],[EF Scope 1 PFCs
(kg PFCs/Einheit)]],"")</f>
        <v/>
      </c>
      <c r="AT102" s="94" t="str">
        <f>IFERROR(Kühl_und_Kältemittel[[#This Row],[Wert 
(Zahl)]]*Kühl_und_Kältemittel[[#This Row],[EF Scope 1 SF6
(kg SF6/Einheit)]],"")</f>
        <v/>
      </c>
      <c r="AU102" s="94" t="str">
        <f>IFERROR(Kühl_und_Kältemittel[[#This Row],[Wert 
(Zahl)]]*Kühl_und_Kältemittel[[#This Row],[EF Scope 1 NF3
(kg NF3/Einheit)]],"")</f>
        <v/>
      </c>
      <c r="AV102" s="94" t="str">
        <f>IFERROR(Kühl_und_Kältemittel[[#This Row],[Wert 
(Zahl)]]*Kühl_und_Kältemittel[[#This Row],[EF Scope 1 Nicht-Kyoto-Gase (kg Nicht-Kyoto-Gase/Einheit)]],"")</f>
        <v/>
      </c>
      <c r="AW102" s="94" t="str">
        <f>IFERROR(Kühl_und_Kältemittel[[#This Row],[Wert 
(Zahl)]]*Kühl_und_Kältemittel[[#This Row],[EF Scope 2 CO2
(kg CO2/Einheit)]],"")</f>
        <v/>
      </c>
      <c r="AX102" s="94" t="str">
        <f>IFERROR(Kühl_und_Kältemittel[[#This Row],[Wert 
(Zahl)]]*Kühl_und_Kältemittel[[#This Row],[EF Scope 2 CH4
(kg CH4/Einheit)]],"")</f>
        <v/>
      </c>
      <c r="AY102" s="94" t="str">
        <f>IFERROR(Kühl_und_Kältemittel[[#This Row],[Wert 
(Zahl)]]*Kühl_und_Kältemittel[[#This Row],[EF Scope 2 N2O
(kg N2O/Einheit)]],"")</f>
        <v/>
      </c>
      <c r="AZ102" s="94" t="str">
        <f>IFERROR(Kühl_und_Kältemittel[[#This Row],[Wert 
(Zahl)]]*Kühl_und_Kältemittel[[#This Row],[EF Scope 2 HFCs
(kg HFCs/Einheit)]],"")</f>
        <v/>
      </c>
      <c r="BA102" s="94" t="str">
        <f>IFERROR(Kühl_und_Kältemittel[[#This Row],[Wert 
(Zahl)]]*Kühl_und_Kältemittel[[#This Row],[EF Scope 2 PFCs
(kg PFCs/Einheit)]],"")</f>
        <v/>
      </c>
      <c r="BB102" s="94" t="str">
        <f>IFERROR(Kühl_und_Kältemittel[[#This Row],[Wert 
(Zahl)]]*Kühl_und_Kältemittel[[#This Row],[EF Scope 2 SF6
(kg SF6/Einheit)]],"")</f>
        <v/>
      </c>
      <c r="BC102" s="94" t="str">
        <f>IFERROR(Kühl_und_Kältemittel[[#This Row],[Wert 
(Zahl)]]*Kühl_und_Kältemittel[[#This Row],[EF Scope 2 NF3
(kg NF3/Einheit)]],"")</f>
        <v/>
      </c>
      <c r="BD102" s="94" t="str">
        <f>IFERROR(Kühl_und_Kältemittel[[#This Row],[Wert 
(Zahl)]]*Kühl_und_Kältemittel[[#This Row],[EF Scope 2 Nicht-Kyoto-Gase (kg Nicht-Kyoto-Gase/Einheit)]],"")</f>
        <v/>
      </c>
      <c r="BE102" s="90" t="str">
        <f>IF(ISBLANK(Kühl_und_Kältemittel[[#This Row],[Wert 
(Zahl)]]),"",IFERROR(Kühl_und_Kältemittel[[#This Row],[Scope 1 CO2 '[kg CO2']]]*IFERROR(VLOOKUP("CO2",GWP_100[],3,FALSE),0),0))</f>
        <v/>
      </c>
      <c r="BF102" s="90" t="str">
        <f>IF(ISBLANK(Kühl_und_Kältemittel[[#This Row],[Wert 
(Zahl)]]),"",IFERROR(Kühl_und_Kältemittel[[#This Row],[Scope 1 CH4 '[kg CH4']]]*IFERROR(VLOOKUP("CH4",GWP_100[],4,FALSE),0),0))</f>
        <v/>
      </c>
      <c r="BG102" s="90" t="str">
        <f>IF(ISBLANK(Kühl_und_Kältemittel[[#This Row],[Wert 
(Zahl)]]),"",IFERROR(Kühl_und_Kältemittel[[#This Row],[Scope 1 N2O '[kg N2O']]]*IFERROR(VLOOKUP("N2O",GWP_100[],5,FALSE),0),0))</f>
        <v/>
      </c>
      <c r="BH102" s="90" t="str">
        <f>IF(ISBLANK(Kühl_und_Kältemittel[[#This Row],[Wert 
(Zahl)]]),"",IFERROR(Kühl_und_Kältemittel[[#This Row],[Scope 1 HFCs '[kg HFCs']]]*IFERROR(VLOOKUP(Kühl_und_Kältemittel[[#This Row],[Emissionsquelle/Aktivität (Dropdown)]],GWP_100[],6,FALSE),0),0))</f>
        <v/>
      </c>
      <c r="BI102" s="90" t="str">
        <f>IF(ISBLANK(Kühl_und_Kältemittel[[#This Row],[Wert 
(Zahl)]]),"",IFERROR(Kühl_und_Kältemittel[[#This Row],[Scope 1 PFCs '[kg PFCs']]]*IFERROR(VLOOKUP(Kühl_und_Kältemittel[[#This Row],[Emissionsquelle/Aktivität (Dropdown)]],GWP_100[],7,FALSE),0),0))</f>
        <v/>
      </c>
      <c r="BJ102" s="90" t="str">
        <f>IF(ISBLANK(Kühl_und_Kältemittel[[#This Row],[Wert 
(Zahl)]]),"",IFERROR(Kühl_und_Kältemittel[[#This Row],[Scope 1 SF6 '[kg SF6']]]*IFERROR(VLOOKUP("SF6",GWP_100[],8,FALSE),0),0))</f>
        <v/>
      </c>
      <c r="BK102" s="90" t="str">
        <f>IF(ISBLANK(Kühl_und_Kältemittel[[#This Row],[Wert 
(Zahl)]]),"",IFERROR(Kühl_und_Kältemittel[[#This Row],[Scope 1 NF3 '[kg NF3']]]*IFERROR(VLOOKUP("NF3",GWP_100[],9,FALSE),0),0))</f>
        <v/>
      </c>
      <c r="BL102" s="90" t="str">
        <f>IF(ISBLANK(Kühl_und_Kältemittel[[#This Row],[Wert 
(Zahl)]]),"",IFERROR(Kühl_und_Kältemittel[[#This Row],[Scope 1 non-Kyoto '[kg non-Kyoto gas']]]*IFERROR(VLOOKUP(Kühl_und_Kältemittel[[#This Row],[Emissionsquelle/Aktivität (Dropdown)]],GWP_100[],10,FALSE),0),0))</f>
        <v/>
      </c>
      <c r="BM102" s="90" t="str">
        <f>IF(ISBLANK(Kühl_und_Kältemittel[[#This Row],[Wert 
(Zahl)]]),"",IFERROR(Kühl_und_Kältemittel[[#This Row],[Scope 2 CO2 '[kg CO2']]]*IFERROR(VLOOKUP("CO2",GWP_100[],3,FALSE),0),0))</f>
        <v/>
      </c>
      <c r="BN102" s="90" t="str">
        <f>IF(ISBLANK(Kühl_und_Kältemittel[[#This Row],[Wert 
(Zahl)]]),"",IFERROR(Kühl_und_Kältemittel[[#This Row],[Scope 2 CH4 '[kg CH4']]]*IFERROR(VLOOKUP("CH4",GWP_100[],4,FALSE),0),0))</f>
        <v/>
      </c>
      <c r="BO102" s="90" t="str">
        <f>IF(ISBLANK(Kühl_und_Kältemittel[[#This Row],[Wert 
(Zahl)]]),"",IFERROR(Kühl_und_Kältemittel[[#This Row],[Scope 2 N2O '[kg N2O']]]*IFERROR(VLOOKUP("N2O",GWP_100[],5,FALSE),0),0))</f>
        <v/>
      </c>
      <c r="BP102" s="90" t="str">
        <f>IF(ISBLANK(Kühl_und_Kältemittel[[#This Row],[Wert 
(Zahl)]]),"",IFERROR(Kühl_und_Kältemittel[[#This Row],[Scope 2 HFCs '[kg HFCs']]]*IFERROR(VLOOKUP(Kühl_und_Kältemittel[[#This Row],[Emissionsquelle/Aktivität (Dropdown)]],GWP_100[],6,FALSE),0),0))</f>
        <v/>
      </c>
      <c r="BQ102" s="90" t="str">
        <f>IF(ISBLANK(Kühl_und_Kältemittel[[#This Row],[Wert 
(Zahl)]]),"",IFERROR(Kühl_und_Kältemittel[[#This Row],[Scope 2 PFCs '[kg PFCs']]]*IFERROR(VLOOKUP(Kühl_und_Kältemittel[[#This Row],[Emissionsquelle/Aktivität (Dropdown)]],GWP_100[],7,FALSE),0),0))</f>
        <v/>
      </c>
      <c r="BR102" s="90" t="str">
        <f>IF(ISBLANK(Kühl_und_Kältemittel[[#This Row],[Wert 
(Zahl)]]),"",IFERROR(Kühl_und_Kältemittel[[#This Row],[Scope 2 SF6 '[kg SF6']]]*IFERROR(VLOOKUP("SF6",GWP_100[],8,FALSE),0),0))</f>
        <v/>
      </c>
      <c r="BS102" s="90" t="str">
        <f>IF(ISBLANK(Kühl_und_Kältemittel[[#This Row],[Wert 
(Zahl)]]),"",IFERROR(Kühl_und_Kältemittel[[#This Row],[Scope 2 NF3 '[kg NF3']]]*IFERROR(VLOOKUP("NF3",GWP_100[],9,FALSE),0),0))</f>
        <v/>
      </c>
      <c r="BT102" s="90" t="str">
        <f>IF(ISBLANK(Kühl_und_Kältemittel[[#This Row],[Wert 
(Zahl)]]),"",IFERROR(Kühl_und_Kältemittel[[#This Row],[Scope 2 non-Kyoto '[kg non-Kyoto gas']]]*IFERROR(VLOOKUP(Kühl_und_Kältemittel[[#This Row],[Emissionsquelle/Aktivität (Dropdown)]],GWP_100[],10,FALSE),0),0))</f>
        <v/>
      </c>
      <c r="BU102"/>
      <c r="BV102"/>
      <c r="BW102"/>
      <c r="BX102"/>
      <c r="BY102"/>
      <c r="BZ102"/>
      <c r="CA102"/>
      <c r="CB102"/>
      <c r="CC102"/>
      <c r="CD102"/>
      <c r="CE102"/>
      <c r="CF102"/>
      <c r="CG102"/>
      <c r="CH102"/>
      <c r="CI102"/>
      <c r="CJ102"/>
      <c r="CK102"/>
      <c r="CL102"/>
      <c r="CM102"/>
      <c r="CN102"/>
    </row>
    <row r="103" spans="2:92" s="2" customFormat="1" ht="15" thickTop="1" x14ac:dyDescent="0.35">
      <c r="B103" s="13"/>
      <c r="D103" s="333" t="s">
        <v>204</v>
      </c>
      <c r="E103" s="333"/>
      <c r="F103" s="333"/>
      <c r="G103" s="333"/>
      <c r="H103" s="333"/>
      <c r="I103" s="333"/>
      <c r="J103" s="333"/>
      <c r="K103" s="286">
        <f>SUBTOTAL(109,Kühl_und_Kältemittel[Ergebnis '[kg CO2e'] (vorausgefüllt)])</f>
        <v>0</v>
      </c>
      <c r="L103" s="160"/>
      <c r="M103" s="410"/>
      <c r="N103" s="410"/>
      <c r="AK103" s="2">
        <f>SUBTOTAL(109,Kühl_und_Kältemittel[Scope 1 CO2e '[kg CO2e']])</f>
        <v>0</v>
      </c>
      <c r="AL103" s="2">
        <f>SUBTOTAL(109,Kühl_und_Kältemittel[Scope 2 CO2e '[kg CO2e']])</f>
        <v>0</v>
      </c>
      <c r="AM103" s="2">
        <f>SUBTOTAL(109,Kühl_und_Kältemittel[Scope 3 CO2e '[kg CO2e']])</f>
        <v>0</v>
      </c>
      <c r="AN103" s="2">
        <f>SUBTOTAL(109,Kühl_und_Kältemittel[Scope 1 CO2 biogen '[kg CO2']])</f>
        <v>0</v>
      </c>
      <c r="AO103" s="2">
        <f>SUBTOTAL(109,Kühl_und_Kältemittel[Scope 1 CO2 '[kg CO2']])</f>
        <v>0</v>
      </c>
      <c r="AP103" s="2">
        <f>SUBTOTAL(109,Kühl_und_Kältemittel[Scope 1 CH4 '[kg CH4']])</f>
        <v>0</v>
      </c>
      <c r="AQ103" s="2">
        <f>SUBTOTAL(109,Kühl_und_Kältemittel[Scope 1 N2O '[kg N2O']])</f>
        <v>0</v>
      </c>
      <c r="AR103" s="2">
        <f>SUBTOTAL(109,Kühl_und_Kältemittel[Scope 1 HFCs '[kg HFCs']])</f>
        <v>0</v>
      </c>
      <c r="AS103" s="2">
        <f>SUBTOTAL(109,Kühl_und_Kältemittel[Scope 1 PFCs '[kg PFCs']])</f>
        <v>0</v>
      </c>
      <c r="AT103" s="2">
        <f>SUBTOTAL(109,Kühl_und_Kältemittel[Scope 1 SF6 '[kg SF6']])</f>
        <v>0</v>
      </c>
      <c r="AU103" s="2">
        <f>SUBTOTAL(109,Kühl_und_Kältemittel[Scope 1 NF3 '[kg NF3']])</f>
        <v>0</v>
      </c>
      <c r="AV103" s="2">
        <f>SUBTOTAL(109,Kühl_und_Kältemittel[Scope 1 non-Kyoto '[kg non-Kyoto gas']])</f>
        <v>0</v>
      </c>
      <c r="AW103" s="2">
        <f>SUBTOTAL(109,Kühl_und_Kältemittel[Scope 2 CO2 '[kg CO2']])</f>
        <v>0</v>
      </c>
      <c r="AX103" s="2">
        <f>SUBTOTAL(109,Kühl_und_Kältemittel[Scope 2 CH4 '[kg CH4']])</f>
        <v>0</v>
      </c>
      <c r="AY103" s="2">
        <f>SUBTOTAL(109,Kühl_und_Kältemittel[Scope 2 N2O '[kg N2O']])</f>
        <v>0</v>
      </c>
      <c r="AZ103" s="2">
        <f>SUBTOTAL(109,Kühl_und_Kältemittel[Scope 2 HFCs '[kg HFCs']])</f>
        <v>0</v>
      </c>
      <c r="BA103" s="2">
        <f>SUBTOTAL(109,Kühl_und_Kältemittel[Scope 2 PFCs '[kg PFCs']])</f>
        <v>0</v>
      </c>
      <c r="BB103" s="2">
        <f>SUBTOTAL(109,Kühl_und_Kältemittel[Scope 2 SF6 '[kg SF6']])</f>
        <v>0</v>
      </c>
      <c r="BC103" s="2">
        <f>SUBTOTAL(109,Kühl_und_Kältemittel[Scope 2 NF3 '[kg NF3']])</f>
        <v>0</v>
      </c>
      <c r="BD103" s="2">
        <f>SUBTOTAL(109,Kühl_und_Kältemittel[Scope 2 non-Kyoto '[kg non-Kyoto gas']])</f>
        <v>0</v>
      </c>
      <c r="BE103" s="2">
        <f>SUBTOTAL(109,Kühl_und_Kältemittel[Scope 1 CO2 '[kg CO2e']])</f>
        <v>0</v>
      </c>
      <c r="BF103" s="2">
        <f>SUBTOTAL(109,Kühl_und_Kältemittel[Scope 1 CH4 '[kg CO2e']])</f>
        <v>0</v>
      </c>
      <c r="BG103" s="2">
        <f>SUBTOTAL(109,Kühl_und_Kältemittel[Scope 1 N2O '[kg CO2e']])</f>
        <v>0</v>
      </c>
      <c r="BH103" s="2">
        <f>SUBTOTAL(109,Kühl_und_Kältemittel[Scope 1 HFCs '[kg CO2e']])</f>
        <v>0</v>
      </c>
      <c r="BI103" s="2">
        <f>SUBTOTAL(109,Kühl_und_Kältemittel[Scope 1 PFCs '[kg CO2e']])</f>
        <v>0</v>
      </c>
      <c r="BJ103" s="2">
        <f>SUBTOTAL(109,Kühl_und_Kältemittel[Scope 1 SF6 '[kg CO2e']])</f>
        <v>0</v>
      </c>
      <c r="BK103" s="2">
        <f>SUBTOTAL(109,Kühl_und_Kältemittel[Scope 1 NF3 '[kg CO2e']])</f>
        <v>0</v>
      </c>
      <c r="BL103" s="2">
        <f>SUBTOTAL(109,Kühl_und_Kältemittel[Scope 1 non-Kyoto '[kg CO2e']])</f>
        <v>0</v>
      </c>
      <c r="BM103" s="2">
        <f>SUBTOTAL(109,Kühl_und_Kältemittel[Scope 2 CO2 '[kg CO2e']])</f>
        <v>0</v>
      </c>
      <c r="BN103" s="2">
        <f>SUBTOTAL(109,Kühl_und_Kältemittel[Scope 2 CH4 '[kg CO2e']])</f>
        <v>0</v>
      </c>
      <c r="BO103" s="2">
        <f>SUBTOTAL(109,Kühl_und_Kältemittel[Scope 2 N2O '[kg CO2e']])</f>
        <v>0</v>
      </c>
      <c r="BP103" s="2">
        <f>SUBTOTAL(109,Kühl_und_Kältemittel[Scope 2 HFCs '[kg CO2e']])</f>
        <v>0</v>
      </c>
      <c r="BQ103" s="2">
        <f>SUBTOTAL(109,Kühl_und_Kältemittel[Scope 2 PFCs '[kg CO2e']])</f>
        <v>0</v>
      </c>
      <c r="BR103" s="2">
        <f>SUBTOTAL(109,Kühl_und_Kältemittel[Scope 2 SF6 '[kg CO2e']])</f>
        <v>0</v>
      </c>
      <c r="BS103" s="2">
        <f>SUBTOTAL(109,Kühl_und_Kältemittel[Scope 2 NF3 '[kg CO2e']])</f>
        <v>0</v>
      </c>
      <c r="BT103" s="2">
        <f>SUBTOTAL(109,Kühl_und_Kältemittel[Scope 2 non-Kyoto '[kg CO2e']])</f>
        <v>0</v>
      </c>
      <c r="BU103"/>
      <c r="BV103"/>
      <c r="BW103"/>
      <c r="BX103"/>
      <c r="BY103"/>
      <c r="BZ103"/>
      <c r="CA103"/>
      <c r="CB103"/>
      <c r="CC103"/>
      <c r="CD103"/>
      <c r="CE103"/>
      <c r="CF103"/>
      <c r="CG103"/>
      <c r="CH103"/>
      <c r="CI103"/>
      <c r="CJ103"/>
      <c r="CK103"/>
      <c r="CL103"/>
      <c r="CM103"/>
      <c r="CN103"/>
    </row>
    <row r="104" spans="2:92" ht="120" customHeight="1" x14ac:dyDescent="0.35">
      <c r="B104" s="183" t="s">
        <v>79</v>
      </c>
      <c r="C104" s="11"/>
      <c r="D104" s="80"/>
      <c r="L104" s="161"/>
    </row>
    <row r="105" spans="2:92" x14ac:dyDescent="0.35">
      <c r="B105" s="127" t="s">
        <v>80</v>
      </c>
      <c r="L105" s="161"/>
      <c r="AP105" s="89"/>
      <c r="AQ105" s="89"/>
      <c r="AR105" s="89"/>
      <c r="AS105" s="89"/>
      <c r="AT105" s="89"/>
      <c r="AU105" s="89"/>
      <c r="AV105" s="89"/>
      <c r="AW105" s="89"/>
      <c r="AX105" s="89"/>
      <c r="AY105" s="89"/>
      <c r="AZ105" s="89"/>
      <c r="BA105" s="89"/>
      <c r="BB105" s="89"/>
      <c r="BC105" s="89"/>
      <c r="BD105" s="89"/>
      <c r="BE105" s="89"/>
      <c r="BF105" s="89"/>
      <c r="BG105" s="89"/>
      <c r="BH105" s="89"/>
      <c r="BI105" s="89"/>
      <c r="BJ105" s="89"/>
      <c r="BK105" s="89"/>
      <c r="BL105" s="89"/>
      <c r="BM105" s="89"/>
      <c r="BN105" s="89"/>
      <c r="BO105" s="89"/>
      <c r="BP105" s="89"/>
      <c r="BQ105" s="89"/>
    </row>
    <row r="106" spans="2:92" ht="18.5" customHeight="1" x14ac:dyDescent="0.45">
      <c r="B106" s="126" t="s">
        <v>12</v>
      </c>
      <c r="E106" s="12"/>
      <c r="L106" s="606" t="s">
        <v>822</v>
      </c>
      <c r="M106" s="606" t="s">
        <v>823</v>
      </c>
      <c r="AP106" s="89"/>
      <c r="AQ106" s="89"/>
      <c r="AR106" s="89"/>
      <c r="AS106" s="89"/>
      <c r="AT106" s="89"/>
      <c r="AU106" s="89"/>
      <c r="AV106" s="89"/>
      <c r="AW106" s="89"/>
      <c r="AX106" s="89"/>
      <c r="AY106" s="89"/>
      <c r="AZ106" s="89"/>
      <c r="BA106" s="89"/>
      <c r="BB106" s="89"/>
      <c r="BC106" s="89"/>
      <c r="BD106" s="89"/>
      <c r="BE106" s="89"/>
      <c r="BF106" s="89"/>
      <c r="BG106" s="89"/>
      <c r="BH106" s="89"/>
      <c r="BI106" s="89"/>
      <c r="BJ106" s="89"/>
      <c r="BK106" s="89"/>
      <c r="BL106" s="89"/>
      <c r="BM106" s="89"/>
      <c r="BN106" s="89"/>
      <c r="BO106" s="89"/>
      <c r="BP106" s="89"/>
      <c r="BQ106" s="89"/>
    </row>
    <row r="107" spans="2:92" ht="93" customHeight="1" x14ac:dyDescent="0.35">
      <c r="B107" s="273" t="s">
        <v>81</v>
      </c>
      <c r="C107" s="274"/>
      <c r="D107" s="601" t="s">
        <v>616</v>
      </c>
      <c r="E107" s="601"/>
      <c r="F107" s="601"/>
      <c r="G107" s="601"/>
      <c r="H107" s="601"/>
      <c r="I107" s="602"/>
      <c r="L107" s="606"/>
      <c r="M107" s="606"/>
      <c r="AP107" s="89"/>
      <c r="AQ107" s="89"/>
      <c r="AR107" s="89"/>
      <c r="AS107" s="89"/>
      <c r="AT107" s="89"/>
      <c r="AU107" s="89"/>
      <c r="AV107" s="89"/>
      <c r="AW107" s="89"/>
      <c r="AX107" s="89"/>
      <c r="AY107" s="89"/>
      <c r="AZ107" s="89"/>
      <c r="BA107" s="89"/>
      <c r="BB107" s="89"/>
      <c r="BC107" s="89"/>
      <c r="BD107" s="89"/>
      <c r="BE107" s="89"/>
      <c r="BF107" s="89"/>
      <c r="BG107" s="89"/>
      <c r="BH107" s="89"/>
      <c r="BI107" s="89"/>
      <c r="BJ107" s="89"/>
      <c r="BK107" s="89"/>
      <c r="BL107" s="89"/>
      <c r="BM107" s="89"/>
      <c r="BN107" s="89"/>
      <c r="BO107" s="89"/>
      <c r="BP107" s="89"/>
      <c r="BQ107" s="89"/>
    </row>
    <row r="108" spans="2:92" ht="14" customHeight="1" x14ac:dyDescent="0.45">
      <c r="C108" t="s">
        <v>12</v>
      </c>
      <c r="L108" s="479" t="s">
        <v>603</v>
      </c>
      <c r="M108" s="479" t="s">
        <v>603</v>
      </c>
      <c r="AP108" s="89"/>
      <c r="AQ108" s="89"/>
      <c r="AR108" s="89"/>
      <c r="AS108" s="89"/>
      <c r="AT108" s="89"/>
      <c r="AU108" s="89"/>
      <c r="AV108" s="89"/>
      <c r="AW108" s="89"/>
      <c r="AX108" s="89"/>
      <c r="AY108" s="89"/>
      <c r="AZ108" s="89"/>
      <c r="BA108" s="89"/>
      <c r="BB108" s="89"/>
      <c r="BC108" s="89"/>
      <c r="BD108" s="89"/>
      <c r="BE108" s="89"/>
      <c r="BF108" s="89"/>
      <c r="BG108" s="89"/>
      <c r="BH108" s="89"/>
      <c r="BI108" s="89"/>
      <c r="BJ108" s="89"/>
      <c r="BK108" s="89"/>
      <c r="BL108" s="89"/>
      <c r="BM108" s="89"/>
      <c r="BN108" s="89"/>
      <c r="BO108" s="89"/>
      <c r="BP108" s="89"/>
      <c r="BQ108" s="89"/>
    </row>
    <row r="109" spans="2:92" ht="60.5" thickBot="1" x14ac:dyDescent="0.4">
      <c r="B109" s="10"/>
      <c r="C109" s="23" t="s">
        <v>46</v>
      </c>
      <c r="D109" s="151" t="s">
        <v>192</v>
      </c>
      <c r="E109" s="151" t="s">
        <v>65</v>
      </c>
      <c r="F109" s="151" t="s">
        <v>66</v>
      </c>
      <c r="G109" s="97" t="s">
        <v>78</v>
      </c>
      <c r="H109" s="151" t="s">
        <v>120</v>
      </c>
      <c r="I109" s="151" t="s">
        <v>568</v>
      </c>
      <c r="J109" s="97" t="s">
        <v>74</v>
      </c>
      <c r="K109" s="97" t="s">
        <v>75</v>
      </c>
      <c r="L109" s="156" t="s">
        <v>821</v>
      </c>
      <c r="M109" s="711" t="s">
        <v>820</v>
      </c>
      <c r="N109" s="407" t="s">
        <v>424</v>
      </c>
      <c r="O109" s="97" t="s">
        <v>217</v>
      </c>
      <c r="P109" s="97" t="s">
        <v>491</v>
      </c>
      <c r="Q109" s="432" t="s">
        <v>485</v>
      </c>
      <c r="R109" s="96" t="s">
        <v>435</v>
      </c>
      <c r="S109" s="96" t="s">
        <v>436</v>
      </c>
      <c r="T109" s="96" t="s">
        <v>437</v>
      </c>
      <c r="U109" s="96" t="s">
        <v>469</v>
      </c>
      <c r="V109" s="96" t="s">
        <v>468</v>
      </c>
      <c r="W109" s="96" t="s">
        <v>467</v>
      </c>
      <c r="X109" s="96" t="s">
        <v>466</v>
      </c>
      <c r="Y109" s="96" t="s">
        <v>579</v>
      </c>
      <c r="Z109" s="436" t="s">
        <v>438</v>
      </c>
      <c r="AA109" s="432" t="s">
        <v>486</v>
      </c>
      <c r="AB109" s="438" t="s">
        <v>425</v>
      </c>
      <c r="AC109" s="96" t="s">
        <v>439</v>
      </c>
      <c r="AD109" s="96" t="s">
        <v>440</v>
      </c>
      <c r="AE109" s="96" t="s">
        <v>441</v>
      </c>
      <c r="AF109" s="96" t="s">
        <v>470</v>
      </c>
      <c r="AG109" s="96" t="s">
        <v>471</v>
      </c>
      <c r="AH109" s="96" t="s">
        <v>472</v>
      </c>
      <c r="AI109" s="96" t="s">
        <v>473</v>
      </c>
      <c r="AJ109" s="96" t="s">
        <v>580</v>
      </c>
      <c r="AK109" s="432" t="s">
        <v>487</v>
      </c>
      <c r="AL109" s="134" t="s">
        <v>493</v>
      </c>
      <c r="AM109" s="134" t="s">
        <v>527</v>
      </c>
      <c r="AN109" s="134" t="s">
        <v>528</v>
      </c>
      <c r="AO109" s="435" t="s">
        <v>500</v>
      </c>
      <c r="AP109" s="439" t="s">
        <v>536</v>
      </c>
      <c r="AQ109" s="434" t="s">
        <v>507</v>
      </c>
      <c r="AR109" s="434" t="s">
        <v>506</v>
      </c>
      <c r="AS109" s="434" t="s">
        <v>504</v>
      </c>
      <c r="AT109" s="434" t="s">
        <v>505</v>
      </c>
      <c r="AU109" s="434" t="s">
        <v>503</v>
      </c>
      <c r="AV109" s="434" t="s">
        <v>502</v>
      </c>
      <c r="AW109" s="434" t="s">
        <v>501</v>
      </c>
      <c r="AX109" s="434" t="s">
        <v>540</v>
      </c>
      <c r="AY109" s="434" t="s">
        <v>508</v>
      </c>
      <c r="AZ109" s="434" t="s">
        <v>509</v>
      </c>
      <c r="BA109" s="434" t="s">
        <v>510</v>
      </c>
      <c r="BB109" s="434" t="s">
        <v>513</v>
      </c>
      <c r="BC109" s="434" t="s">
        <v>514</v>
      </c>
      <c r="BD109" s="434" t="s">
        <v>511</v>
      </c>
      <c r="BE109" s="434" t="s">
        <v>512</v>
      </c>
      <c r="BF109" s="434" t="s">
        <v>541</v>
      </c>
      <c r="BG109" s="433" t="s">
        <v>495</v>
      </c>
      <c r="BH109" s="433" t="s">
        <v>494</v>
      </c>
      <c r="BI109" s="433" t="s">
        <v>496</v>
      </c>
      <c r="BJ109" s="433" t="s">
        <v>497</v>
      </c>
      <c r="BK109" s="433" t="s">
        <v>515</v>
      </c>
      <c r="BL109" s="433" t="s">
        <v>498</v>
      </c>
      <c r="BM109" s="433" t="s">
        <v>499</v>
      </c>
      <c r="BN109" s="433" t="s">
        <v>542</v>
      </c>
      <c r="BO109" s="433" t="s">
        <v>516</v>
      </c>
      <c r="BP109" s="433" t="s">
        <v>517</v>
      </c>
      <c r="BQ109" s="433" t="s">
        <v>518</v>
      </c>
      <c r="BR109" s="433" t="s">
        <v>519</v>
      </c>
      <c r="BS109" s="433" t="s">
        <v>520</v>
      </c>
      <c r="BT109" s="433" t="s">
        <v>521</v>
      </c>
      <c r="BU109" s="433" t="s">
        <v>522</v>
      </c>
      <c r="BV109" s="433" t="s">
        <v>543</v>
      </c>
      <c r="BW109" s="89"/>
      <c r="BX109" s="89"/>
      <c r="BY109" s="89"/>
      <c r="BZ109" s="89"/>
      <c r="CA109" s="89"/>
      <c r="CB109" s="89"/>
      <c r="CC109" s="89"/>
      <c r="CD109" s="89"/>
      <c r="CE109" s="89"/>
      <c r="CF109" s="89"/>
      <c r="CG109" s="89"/>
      <c r="CH109" s="89"/>
      <c r="CI109" s="89"/>
      <c r="CJ109" s="89"/>
      <c r="CK109" s="89"/>
      <c r="CL109" s="89"/>
      <c r="CM109" s="89"/>
      <c r="CN109" s="89"/>
    </row>
    <row r="110" spans="2:92" s="89" customFormat="1" ht="15" thickTop="1" x14ac:dyDescent="0.35">
      <c r="B110" s="603" t="s">
        <v>12</v>
      </c>
      <c r="C110" s="10" t="str">
        <f t="shared" ref="C110:C129" si="3">$C$108</f>
        <v>Fuhrpark</v>
      </c>
      <c r="D110" s="90"/>
      <c r="E110" s="90"/>
      <c r="F110" s="288"/>
      <c r="G110" s="10" t="str">
        <f>IFERROR(VLOOKUP(Fuhrpark[[#This Row],[Thema_Bezeichung]],EFs_Fuhrpark[],4,FALSE),"")</f>
        <v/>
      </c>
      <c r="H110" s="90"/>
      <c r="I110" s="90"/>
      <c r="J110" s="90"/>
      <c r="K110" s="90"/>
      <c r="L110" s="289" t="str">
        <f>IF(ISBLANK(Fuhrpark[[#This Row],[Wert 
(Zahl)]]),"", SUM(Fuhrpark[[#This Row],[Scope 1 CO2e '[kg CO2e']]:[Scope 3 CO2e '[kg CO2e']]]))</f>
        <v/>
      </c>
      <c r="M110" s="289" t="str">
        <f>IF(OR(ISBLANK(Fuhrpark[[#This Row],[Wert 
(Zahl)]]),Fuhrpark[[#This Row],[Emissionsquelle/Aktivität (Dropdown)]]&lt;&gt;"Strom (externes Laden, Deutschland)"),"", SUM(Fuhrpark[[#This Row],[Scope 1 CO2e '[kg CO2e']]],Fuhrpark[[#This Row],[Scope 2 CO2e market-based '[kg CO2e']]],Fuhrpark[[#This Row],[Scope 3 CO2e '[kg CO2e']]]))</f>
        <v/>
      </c>
      <c r="N110" s="408"/>
      <c r="O110" s="15" t="str">
        <f>IF(ISBLANK(Fuhrpark[[#This Row],[Emissionsquelle/Aktivität (Dropdown)]]),"",CONCATENATE(Fuhrpark[[#This Row],[Sektor_Thema]]," - ",Fuhrpark[[#This Row],[Emissionsquelle/Aktivität (Dropdown)]]))</f>
        <v/>
      </c>
      <c r="P110" s="15" t="str">
        <f>IF(ISBLANK(Fuhrpark[[#This Row],[Emissionsquelle/Aktivität (Dropdown)]]),"",AND(Fuhrpark[[#This Row],[Emissionsquelle/Aktivität (Dropdown)]]="Strom (externes laden, Deutschland)",ISNUMBER(Fuhrpark[[#This Row],[Scope-2-Emissionsfaktor Vertragsstrommix
'[g CO2e/kWh']
(falls verfügbar)]])))</f>
        <v/>
      </c>
      <c r="Q110" s="15" t="str">
        <f>IFERROR(VLOOKUP(Fuhrpark[[#This Row],[Thema_Bezeichung]],EFs_Fuhrpark[],5,FALSE),"")</f>
        <v/>
      </c>
      <c r="R110" s="15" t="str">
        <f>IFERROR(VLOOKUP(Fuhrpark[[#This Row],[Thema_Bezeichung]],EFs_Fuhrpark[],6,FALSE),"")</f>
        <v/>
      </c>
      <c r="S110" s="15" t="str">
        <f>IFERROR(VLOOKUP(Fuhrpark[[#This Row],[Thema_Bezeichung]],EFs_Fuhrpark[],7,FALSE),"")</f>
        <v/>
      </c>
      <c r="T110" s="15" t="str">
        <f>IFERROR(VLOOKUP(Fuhrpark[[#This Row],[Thema_Bezeichung]],EFs_Fuhrpark[],8,FALSE),"")</f>
        <v/>
      </c>
      <c r="U110" s="15" t="str">
        <f>IFERROR(VLOOKUP(Fuhrpark[[#This Row],[Thema_Bezeichung]],EFs_Fuhrpark[],9,FALSE),"")</f>
        <v/>
      </c>
      <c r="V110" s="15" t="str">
        <f>IFERROR(VLOOKUP(Fuhrpark[[#This Row],[Thema_Bezeichung]],EFs_Fuhrpark[],10,FALSE),"")</f>
        <v/>
      </c>
      <c r="W110" s="15" t="str">
        <f>IFERROR(VLOOKUP(Fuhrpark[[#This Row],[Thema_Bezeichung]],EFs_Fuhrpark[],11,FALSE),"")</f>
        <v/>
      </c>
      <c r="X110" s="15" t="str">
        <f>IFERROR(VLOOKUP(Fuhrpark[[#This Row],[Thema_Bezeichung]],EFs_Fuhrpark[],12,FALSE),"")</f>
        <v/>
      </c>
      <c r="Y110" s="15" t="str">
        <f>IFERROR(VLOOKUP(Fuhrpark[[#This Row],[Thema_Bezeichung]],EFs_Fuhrpark[],13,FALSE),"")</f>
        <v/>
      </c>
      <c r="Z110" s="15" t="str">
        <f>IFERROR(VLOOKUP(Fuhrpark[[#This Row],[Thema_Bezeichung]],EFs_Fuhrpark[],14,FALSE),"")</f>
        <v/>
      </c>
      <c r="AA110" s="15" t="str">
        <f>IFERROR(VLOOKUP(Fuhrpark[[#This Row],[Thema_Bezeichung]],EFs_Fuhrpark[],15,FALSE),"")</f>
        <v/>
      </c>
      <c r="AB110" s="15" t="str">
        <f>IF(Fuhrpark[[#This Row],[Vertragsstrommix angegegeben?]]=TRUE,Fuhrpark[[#This Row],[Scope-2-Emissionsfaktor Vertragsstrommix
'[g CO2e/kWh']
(falls verfügbar)]]/1000,IFERROR(VLOOKUP(Fuhrpark[[#This Row],[Thema_Bezeichung]],EFs_Fuhrpark[],15,FALSE),""))</f>
        <v/>
      </c>
      <c r="AC110" s="15" t="str">
        <f>IFERROR(VLOOKUP(Fuhrpark[[#This Row],[Thema_Bezeichung]],EFs_Fuhrpark[],16,FALSE),"")</f>
        <v/>
      </c>
      <c r="AD110" s="15" t="str">
        <f>IFERROR(VLOOKUP(Fuhrpark[[#This Row],[Thema_Bezeichung]],EFs_Fuhrpark[],17,FALSE),"")</f>
        <v/>
      </c>
      <c r="AE110" s="15" t="str">
        <f>IFERROR(VLOOKUP(Fuhrpark[[#This Row],[Thema_Bezeichung]],EFs_Fuhrpark[],18,FALSE),"")</f>
        <v/>
      </c>
      <c r="AF110" s="15" t="str">
        <f>IFERROR(VLOOKUP(Fuhrpark[[#This Row],[Thema_Bezeichung]],EFs_Fuhrpark[],19,FALSE),"")</f>
        <v/>
      </c>
      <c r="AG110" s="15" t="str">
        <f>IFERROR(VLOOKUP(Fuhrpark[[#This Row],[Thema_Bezeichung]],EFs_Fuhrpark[],20,FALSE),"")</f>
        <v/>
      </c>
      <c r="AH110" s="15" t="str">
        <f>IFERROR(VLOOKUP(Fuhrpark[[#This Row],[Thema_Bezeichung]],EFs_Fuhrpark[],21,FALSE),"")</f>
        <v/>
      </c>
      <c r="AI110" s="15" t="str">
        <f>IFERROR(VLOOKUP(Fuhrpark[[#This Row],[Thema_Bezeichung]],EFs_Fuhrpark[],22,FALSE),"")</f>
        <v/>
      </c>
      <c r="AJ110" s="15" t="str">
        <f>IFERROR(VLOOKUP(Fuhrpark[[#This Row],[Thema_Bezeichung]],EFs_Fuhrpark[],23,FALSE),"")</f>
        <v/>
      </c>
      <c r="AK110" s="15" t="str">
        <f>IFERROR(VLOOKUP(Fuhrpark[[#This Row],[Thema_Bezeichung]],EFs_Fuhrpark[],24,FALSE),"")</f>
        <v/>
      </c>
      <c r="AL110" s="15" t="str">
        <f>IFERROR(Fuhrpark[[#This Row],[Wert 
(Zahl)]]*Fuhrpark[[#This Row],[EF Scope 1 CO2e
(kg CO2e/Einheit)]],"")</f>
        <v/>
      </c>
      <c r="AM110" s="15" t="str">
        <f>IFERROR(Fuhrpark[[#This Row],[Wert 
(Zahl)]]*Fuhrpark[[#This Row],[EF Scope 2 CO2e
(kg CO2e/Einheit)]],"")</f>
        <v/>
      </c>
      <c r="AN110" s="15" t="str">
        <f>IFERROR(Fuhrpark[[#This Row],[Wert 
(Zahl)]]*Fuhrpark[[#This Row],[EF Scope 3 CO2e
(kg CO2e/Einheit)]],"")</f>
        <v/>
      </c>
      <c r="AO110" s="15" t="str">
        <f>IFERROR(Fuhrpark[[#This Row],[Wert 
(Zahl)]]*Fuhrpark[[#This Row],[EF Scope 1 CO2 biogen
(kg CO2 /Einheit)]],"")</f>
        <v/>
      </c>
      <c r="AP110" s="15" t="str">
        <f>IFERROR(Fuhrpark[[#This Row],[Wert 
(Zahl)]]*Fuhrpark[[#This Row],[Scope 2 Emissionsfaktor market-based '[kg CO2e/Einheit']]],"")</f>
        <v/>
      </c>
      <c r="AQ110" s="15" t="str">
        <f>IFERROR(Fuhrpark[[#This Row],[Wert 
(Zahl)]]*Fuhrpark[[#This Row],[EF Scope 1 CO2
(kg CO2/Einheit)]],"")</f>
        <v/>
      </c>
      <c r="AR110" s="15" t="str">
        <f>IFERROR(Fuhrpark[[#This Row],[Wert 
(Zahl)]]*Fuhrpark[[#This Row],[EF Scope 1 CH4
(kg CH4/Einheit)]],"")</f>
        <v/>
      </c>
      <c r="AS110" s="15" t="str">
        <f>IFERROR(Fuhrpark[[#This Row],[Wert 
(Zahl)]]*Fuhrpark[[#This Row],[EF Scope 1 N2O
(kg N2O/Einheit)]],"")</f>
        <v/>
      </c>
      <c r="AT110" s="15" t="str">
        <f>IFERROR(Fuhrpark[[#This Row],[Wert 
(Zahl)]]*Fuhrpark[[#This Row],[EF Scope 1 HFCs
(kg HFCs/Einheit)]],"")</f>
        <v/>
      </c>
      <c r="AU110" s="15" t="str">
        <f>IFERROR(Fuhrpark[[#This Row],[Wert 
(Zahl)]]*Fuhrpark[[#This Row],[EF Scope 1 PFCs
(kg PFCs/Einheit)]],"")</f>
        <v/>
      </c>
      <c r="AV110" s="15" t="str">
        <f>IFERROR(Fuhrpark[[#This Row],[Wert 
(Zahl)]]*Fuhrpark[[#This Row],[EF Scope 1 SF6
(kg SF6/Einheit)]],"")</f>
        <v/>
      </c>
      <c r="AW110" s="15" t="str">
        <f>IFERROR(Fuhrpark[[#This Row],[Wert 
(Zahl)]]*Fuhrpark[[#This Row],[EF Scope 1 NF3
(kg NF3/Einheit)]],"")</f>
        <v/>
      </c>
      <c r="AX110" s="15" t="str">
        <f>IFERROR(Fuhrpark[[#This Row],[Wert 
(Zahl)]]*Fuhrpark[[#This Row],[EF Scope 1 Nicht-Kyoto-Gase (kg Nicht-Kyoto-Gase/Einheit)]],"")</f>
        <v/>
      </c>
      <c r="AY110" s="15" t="str">
        <f>IFERROR(Fuhrpark[[#This Row],[Wert 
(Zahl)]]*Fuhrpark[[#This Row],[EF Scope 2 CO2
(kg CO2/Einheit)]],"")</f>
        <v/>
      </c>
      <c r="AZ110" s="15" t="str">
        <f>IFERROR(Fuhrpark[[#This Row],[Wert 
(Zahl)]]*Fuhrpark[[#This Row],[EF Scope 2 CH4
(kg CH4/Einheit)]],"")</f>
        <v/>
      </c>
      <c r="BA110" s="15" t="str">
        <f>IFERROR(Fuhrpark[[#This Row],[Wert 
(Zahl)]]*Fuhrpark[[#This Row],[EF Scope 2 N2O
(kg N2O/Einheit)]],"")</f>
        <v/>
      </c>
      <c r="BB110" s="15" t="str">
        <f>IFERROR(Fuhrpark[[#This Row],[Wert 
(Zahl)]]*Fuhrpark[[#This Row],[EF Scope 2 HFCs
(kg HFCs/Einheit)]],"")</f>
        <v/>
      </c>
      <c r="BC110" s="15" t="str">
        <f>IFERROR(Fuhrpark[[#This Row],[Wert 
(Zahl)]]*Fuhrpark[[#This Row],[EF Scope 2 PFCs
(kg PFCs/Einheit)]],"")</f>
        <v/>
      </c>
      <c r="BD110" s="15" t="str">
        <f>IFERROR(Fuhrpark[[#This Row],[Wert 
(Zahl)]]*Fuhrpark[[#This Row],[EF Scope 2 SF6
(kg SF6/Einheit)]],"")</f>
        <v/>
      </c>
      <c r="BE110" s="15" t="str">
        <f>IFERROR(Fuhrpark[[#This Row],[Wert 
(Zahl)]]*Fuhrpark[[#This Row],[EF Scope 2 NF3
(kg NF3/Einheit)]],"")</f>
        <v/>
      </c>
      <c r="BF110" s="15" t="str">
        <f>IFERROR(Fuhrpark[[#This Row],[Wert 
(Zahl)]]*Fuhrpark[[#This Row],[EF Scope 2 Nicht-Kyoto-Gase (kg Nicht-Kyoto-Gase/Einheit)]],"")</f>
        <v/>
      </c>
      <c r="BG110" s="15" t="str">
        <f>IF(ISBLANK(Fuhrpark[[#This Row],[Wert 
(Zahl)]]),"",IFERROR(Fuhrpark[[#This Row],[Scope 1 CO2 '[kg CO2']]]*IFERROR(VLOOKUP("CO2",GWP_100[],3,FALSE),0),0))</f>
        <v/>
      </c>
      <c r="BH110" s="15" t="str">
        <f>IF(ISBLANK(Fuhrpark[[#This Row],[Wert 
(Zahl)]]),"",IFERROR(Fuhrpark[[#This Row],[Scope 1 CH4 '[kg CH4']]]*IFERROR(VLOOKUP("CH4",GWP_100[],4,FALSE),0),0))</f>
        <v/>
      </c>
      <c r="BI110" s="15" t="str">
        <f>IF(ISBLANK(Fuhrpark[[#This Row],[Wert 
(Zahl)]]),"",IFERROR(Fuhrpark[[#This Row],[Scope 1 N2O '[kg N2O']]]*IFERROR(VLOOKUP("N2O",GWP_100[],5,FALSE),0),0))</f>
        <v/>
      </c>
      <c r="BJ110" s="15" t="str">
        <f>IF(ISBLANK(Fuhrpark[[#This Row],[Wert 
(Zahl)]]),"",IFERROR(Fuhrpark[[#This Row],[Scope 1 HFCs '[kg HFCs']]]*IFERROR(VLOOKUP(Fuhrpark[[#This Row],[Emissionsquelle/Aktivität (Dropdown)]],GWP_100[],6,FALSE),0),0))</f>
        <v/>
      </c>
      <c r="BK110" s="15" t="str">
        <f>IF(ISBLANK(Fuhrpark[[#This Row],[Wert 
(Zahl)]]),"",IFERROR(Fuhrpark[[#This Row],[Scope 1 PFCs '[kg PFCs']]]*IFERROR(VLOOKUP(Fuhrpark[[#This Row],[Emissionsquelle/Aktivität (Dropdown)]],GWP_100[],7,FALSE),0),0))</f>
        <v/>
      </c>
      <c r="BL110" s="15" t="str">
        <f>IF(ISBLANK(Fuhrpark[[#This Row],[Wert 
(Zahl)]]),"",IFERROR(Fuhrpark[[#This Row],[Scope 1 SF6 '[kg SF6']]]*IFERROR(VLOOKUP("SF6",GWP_100[],8,FALSE),0),0))</f>
        <v/>
      </c>
      <c r="BM110" s="15" t="str">
        <f>IF(ISBLANK(Fuhrpark[[#This Row],[Wert 
(Zahl)]]),"",IFERROR(Fuhrpark[[#This Row],[Scope 1 NF3 '[kg NF3']]]*IFERROR(VLOOKUP("NF3",GWP_100[],9,FALSE),0),0))</f>
        <v/>
      </c>
      <c r="BN110" s="15" t="str">
        <f>IF(ISBLANK(Fuhrpark[[#This Row],[Wert 
(Zahl)]]),"",IFERROR(Fuhrpark[[#This Row],[Scope 1 non-Kyoto '[kg non-Kyoto gas']]]*IFERROR(VLOOKUP(Fuhrpark[[#This Row],[Emissionsquelle/Aktivität (Dropdown)]],GWP_100[],10,FALSE),0),0))</f>
        <v/>
      </c>
      <c r="BO110" s="15" t="str">
        <f>IF(ISBLANK(Fuhrpark[[#This Row],[Wert 
(Zahl)]]),"",IFERROR(Fuhrpark[[#This Row],[Scope 2 CO2 '[kg CO2']]]*IFERROR(VLOOKUP("CO2",GWP_100[],3,FALSE),0),0))</f>
        <v/>
      </c>
      <c r="BP110" s="15" t="str">
        <f>IF(ISBLANK(Fuhrpark[[#This Row],[Wert 
(Zahl)]]),"",IFERROR(Fuhrpark[[#This Row],[Scope 2 CH4 '[kg CH4']]]*IFERROR(VLOOKUP("CH4",GWP_100[],4,FALSE),0),0))</f>
        <v/>
      </c>
      <c r="BQ110" s="15" t="str">
        <f>IF(ISBLANK(Fuhrpark[[#This Row],[Wert 
(Zahl)]]),"",IFERROR(Fuhrpark[[#This Row],[Scope 2 N2O '[kg N2O']]]*IFERROR(VLOOKUP("N2O",GWP_100[],5,FALSE),0),0))</f>
        <v/>
      </c>
      <c r="BR110" s="15" t="str">
        <f>IF(ISBLANK(Fuhrpark[[#This Row],[Wert 
(Zahl)]]),"",IFERROR(Fuhrpark[[#This Row],[Scope 2 HFCs '[kg HFCs']]]*IFERROR(VLOOKUP(Fuhrpark[[#This Row],[Emissionsquelle/Aktivität (Dropdown)]],GWP_100[],6,FALSE),0),0))</f>
        <v/>
      </c>
      <c r="BS110" s="15" t="str">
        <f>IF(ISBLANK(Fuhrpark[[#This Row],[Wert 
(Zahl)]]),"",IFERROR(Fuhrpark[[#This Row],[Scope 2 PFCs '[kg PFCs']]]*IFERROR(VLOOKUP(Fuhrpark[[#This Row],[Emissionsquelle/Aktivität (Dropdown)]],GWP_100[],7,FALSE),0),0))</f>
        <v/>
      </c>
      <c r="BT110" s="15" t="str">
        <f>IF(ISBLANK(Fuhrpark[[#This Row],[Wert 
(Zahl)]]),"",IFERROR(Fuhrpark[[#This Row],[Scope 2 SF6 '[kg SF6']]]*IFERROR(VLOOKUP("SF6",GWP_100[],8,FALSE),0),0))</f>
        <v/>
      </c>
      <c r="BU110" s="15" t="str">
        <f>IF(ISBLANK(Fuhrpark[[#This Row],[Wert 
(Zahl)]]),"",IFERROR(Fuhrpark[[#This Row],[Scope 2 NF3 '[kg NF3']]]*IFERROR(VLOOKUP("NF3",GWP_100[],9,FALSE),0),0))</f>
        <v/>
      </c>
      <c r="BV110" s="15" t="str">
        <f>IF(ISBLANK(Fuhrpark[[#This Row],[Wert 
(Zahl)]]),"",IFERROR(Fuhrpark[[#This Row],[Scope 2 non-Kyoto '[kg non-Kyoto gas']]]*IFERROR(VLOOKUP(Fuhrpark[[#This Row],[Emissionsquelle/Aktivität (Dropdown)]],GWP_100[],10,FALSE),0),0))</f>
        <v/>
      </c>
    </row>
    <row r="111" spans="2:92" s="89" customFormat="1" x14ac:dyDescent="0.35">
      <c r="B111" s="604"/>
      <c r="C111" s="10" t="str">
        <f t="shared" si="3"/>
        <v>Fuhrpark</v>
      </c>
      <c r="D111" s="90"/>
      <c r="E111" s="90"/>
      <c r="F111" s="288"/>
      <c r="G111" s="10" t="str">
        <f>IFERROR(VLOOKUP(Fuhrpark[[#This Row],[Thema_Bezeichung]],EFs_Fuhrpark[],4,FALSE),"")</f>
        <v/>
      </c>
      <c r="H111" s="90"/>
      <c r="I111" s="90"/>
      <c r="J111" s="90"/>
      <c r="K111" s="90"/>
      <c r="L111" s="289" t="str">
        <f>IF(ISBLANK(Fuhrpark[[#This Row],[Wert 
(Zahl)]]),"", SUM(Fuhrpark[[#This Row],[Scope 1 CO2e '[kg CO2e']]:[Scope 3 CO2e '[kg CO2e']]]))</f>
        <v/>
      </c>
      <c r="M111" s="289" t="str">
        <f>IF(OR(ISBLANK(Fuhrpark[[#This Row],[Wert 
(Zahl)]]),Fuhrpark[[#This Row],[Emissionsquelle/Aktivität (Dropdown)]]&lt;&gt;"Strom (externes Laden, Deutschland)"),"", SUM(Fuhrpark[[#This Row],[Scope 1 CO2e '[kg CO2e']]],Fuhrpark[[#This Row],[Scope 2 CO2e market-based '[kg CO2e']]],Fuhrpark[[#This Row],[Scope 3 CO2e '[kg CO2e']]]))</f>
        <v/>
      </c>
      <c r="N111" s="408"/>
      <c r="O111" s="15" t="str">
        <f>IF(ISBLANK(Fuhrpark[[#This Row],[Emissionsquelle/Aktivität (Dropdown)]]),"",CONCATENATE(Fuhrpark[[#This Row],[Sektor_Thema]]," - ",Fuhrpark[[#This Row],[Emissionsquelle/Aktivität (Dropdown)]]))</f>
        <v/>
      </c>
      <c r="P111" s="15" t="str">
        <f>IF(ISBLANK(Fuhrpark[[#This Row],[Emissionsquelle/Aktivität (Dropdown)]]),"",AND(Fuhrpark[[#This Row],[Emissionsquelle/Aktivität (Dropdown)]]="Strom (externes laden, Deutschland)",ISNUMBER(Fuhrpark[[#This Row],[Scope-2-Emissionsfaktor Vertragsstrommix
'[g CO2e/kWh']
(falls verfügbar)]])))</f>
        <v/>
      </c>
      <c r="Q111" s="15" t="str">
        <f>IFERROR(VLOOKUP(Fuhrpark[[#This Row],[Thema_Bezeichung]],EFs_Fuhrpark[],5,FALSE),"")</f>
        <v/>
      </c>
      <c r="R111" s="15" t="str">
        <f>IFERROR(VLOOKUP(Fuhrpark[[#This Row],[Thema_Bezeichung]],EFs_Fuhrpark[],6,FALSE),"")</f>
        <v/>
      </c>
      <c r="S111" s="15" t="str">
        <f>IFERROR(VLOOKUP(Fuhrpark[[#This Row],[Thema_Bezeichung]],EFs_Fuhrpark[],7,FALSE),"")</f>
        <v/>
      </c>
      <c r="T111" s="15" t="str">
        <f>IFERROR(VLOOKUP(Fuhrpark[[#This Row],[Thema_Bezeichung]],EFs_Fuhrpark[],8,FALSE),"")</f>
        <v/>
      </c>
      <c r="U111" s="15" t="str">
        <f>IFERROR(VLOOKUP(Fuhrpark[[#This Row],[Thema_Bezeichung]],EFs_Fuhrpark[],9,FALSE),"")</f>
        <v/>
      </c>
      <c r="V111" s="15" t="str">
        <f>IFERROR(VLOOKUP(Fuhrpark[[#This Row],[Thema_Bezeichung]],EFs_Fuhrpark[],10,FALSE),"")</f>
        <v/>
      </c>
      <c r="W111" s="15" t="str">
        <f>IFERROR(VLOOKUP(Fuhrpark[[#This Row],[Thema_Bezeichung]],EFs_Fuhrpark[],11,FALSE),"")</f>
        <v/>
      </c>
      <c r="X111" s="15" t="str">
        <f>IFERROR(VLOOKUP(Fuhrpark[[#This Row],[Thema_Bezeichung]],EFs_Fuhrpark[],12,FALSE),"")</f>
        <v/>
      </c>
      <c r="Y111" s="15" t="str">
        <f>IFERROR(VLOOKUP(Fuhrpark[[#This Row],[Thema_Bezeichung]],EFs_Fuhrpark[],13,FALSE),"")</f>
        <v/>
      </c>
      <c r="Z111" s="15" t="str">
        <f>IFERROR(VLOOKUP(Fuhrpark[[#This Row],[Thema_Bezeichung]],EFs_Fuhrpark[],14,FALSE),"")</f>
        <v/>
      </c>
      <c r="AA111" s="15" t="str">
        <f>IFERROR(VLOOKUP(Fuhrpark[[#This Row],[Thema_Bezeichung]],EFs_Fuhrpark[],15,FALSE),"")</f>
        <v/>
      </c>
      <c r="AB111" s="15" t="str">
        <f>IF(Fuhrpark[[#This Row],[Vertragsstrommix angegegeben?]]=TRUE,Fuhrpark[[#This Row],[Scope-2-Emissionsfaktor Vertragsstrommix
'[g CO2e/kWh']
(falls verfügbar)]]/1000,IFERROR(VLOOKUP(Fuhrpark[[#This Row],[Thema_Bezeichung]],EFs_Fuhrpark[],15,FALSE),""))</f>
        <v/>
      </c>
      <c r="AC111" s="15" t="str">
        <f>IFERROR(VLOOKUP(Fuhrpark[[#This Row],[Thema_Bezeichung]],EFs_Fuhrpark[],16,FALSE),"")</f>
        <v/>
      </c>
      <c r="AD111" s="15" t="str">
        <f>IFERROR(VLOOKUP(Fuhrpark[[#This Row],[Thema_Bezeichung]],EFs_Fuhrpark[],17,FALSE),"")</f>
        <v/>
      </c>
      <c r="AE111" s="15" t="str">
        <f>IFERROR(VLOOKUP(Fuhrpark[[#This Row],[Thema_Bezeichung]],EFs_Fuhrpark[],18,FALSE),"")</f>
        <v/>
      </c>
      <c r="AF111" s="15" t="str">
        <f>IFERROR(VLOOKUP(Fuhrpark[[#This Row],[Thema_Bezeichung]],EFs_Fuhrpark[],19,FALSE),"")</f>
        <v/>
      </c>
      <c r="AG111" s="15" t="str">
        <f>IFERROR(VLOOKUP(Fuhrpark[[#This Row],[Thema_Bezeichung]],EFs_Fuhrpark[],20,FALSE),"")</f>
        <v/>
      </c>
      <c r="AH111" s="15" t="str">
        <f>IFERROR(VLOOKUP(Fuhrpark[[#This Row],[Thema_Bezeichung]],EFs_Fuhrpark[],21,FALSE),"")</f>
        <v/>
      </c>
      <c r="AI111" s="15" t="str">
        <f>IFERROR(VLOOKUP(Fuhrpark[[#This Row],[Thema_Bezeichung]],EFs_Fuhrpark[],22,FALSE),"")</f>
        <v/>
      </c>
      <c r="AJ111" s="15" t="str">
        <f>IFERROR(VLOOKUP(Fuhrpark[[#This Row],[Thema_Bezeichung]],EFs_Fuhrpark[],23,FALSE),"")</f>
        <v/>
      </c>
      <c r="AK111" s="15" t="str">
        <f>IFERROR(VLOOKUP(Fuhrpark[[#This Row],[Thema_Bezeichung]],EFs_Fuhrpark[],24,FALSE),"")</f>
        <v/>
      </c>
      <c r="AL111" s="15" t="str">
        <f>IFERROR(Fuhrpark[[#This Row],[Wert 
(Zahl)]]*Fuhrpark[[#This Row],[EF Scope 1 CO2e
(kg CO2e/Einheit)]],"")</f>
        <v/>
      </c>
      <c r="AM111" s="15" t="str">
        <f>IFERROR(Fuhrpark[[#This Row],[Wert 
(Zahl)]]*Fuhrpark[[#This Row],[EF Scope 2 CO2e
(kg CO2e/Einheit)]],"")</f>
        <v/>
      </c>
      <c r="AN111" s="15" t="str">
        <f>IFERROR(Fuhrpark[[#This Row],[Wert 
(Zahl)]]*Fuhrpark[[#This Row],[EF Scope 3 CO2e
(kg CO2e/Einheit)]],"")</f>
        <v/>
      </c>
      <c r="AO111" s="15" t="str">
        <f>IFERROR(Fuhrpark[[#This Row],[Wert 
(Zahl)]]*Fuhrpark[[#This Row],[EF Scope 1 CO2 biogen
(kg CO2 /Einheit)]],"")</f>
        <v/>
      </c>
      <c r="AP111" s="15" t="str">
        <f>IFERROR(Fuhrpark[[#This Row],[Wert 
(Zahl)]]*Fuhrpark[[#This Row],[Scope 2 Emissionsfaktor market-based '[kg CO2e/Einheit']]],"")</f>
        <v/>
      </c>
      <c r="AQ111" s="15" t="str">
        <f>IFERROR(Fuhrpark[[#This Row],[Wert 
(Zahl)]]*Fuhrpark[[#This Row],[EF Scope 1 CO2
(kg CO2/Einheit)]],"")</f>
        <v/>
      </c>
      <c r="AR111" s="15" t="str">
        <f>IFERROR(Fuhrpark[[#This Row],[Wert 
(Zahl)]]*Fuhrpark[[#This Row],[EF Scope 1 CH4
(kg CH4/Einheit)]],"")</f>
        <v/>
      </c>
      <c r="AS111" s="15" t="str">
        <f>IFERROR(Fuhrpark[[#This Row],[Wert 
(Zahl)]]*Fuhrpark[[#This Row],[EF Scope 1 N2O
(kg N2O/Einheit)]],"")</f>
        <v/>
      </c>
      <c r="AT111" s="15" t="str">
        <f>IFERROR(Fuhrpark[[#This Row],[Wert 
(Zahl)]]*Fuhrpark[[#This Row],[EF Scope 1 HFCs
(kg HFCs/Einheit)]],"")</f>
        <v/>
      </c>
      <c r="AU111" s="15" t="str">
        <f>IFERROR(Fuhrpark[[#This Row],[Wert 
(Zahl)]]*Fuhrpark[[#This Row],[EF Scope 1 PFCs
(kg PFCs/Einheit)]],"")</f>
        <v/>
      </c>
      <c r="AV111" s="15" t="str">
        <f>IFERROR(Fuhrpark[[#This Row],[Wert 
(Zahl)]]*Fuhrpark[[#This Row],[EF Scope 1 SF6
(kg SF6/Einheit)]],"")</f>
        <v/>
      </c>
      <c r="AW111" s="15" t="str">
        <f>IFERROR(Fuhrpark[[#This Row],[Wert 
(Zahl)]]*Fuhrpark[[#This Row],[EF Scope 1 NF3
(kg NF3/Einheit)]],"")</f>
        <v/>
      </c>
      <c r="AX111" s="15" t="str">
        <f>IFERROR(Fuhrpark[[#This Row],[Wert 
(Zahl)]]*Fuhrpark[[#This Row],[EF Scope 1 Nicht-Kyoto-Gase (kg Nicht-Kyoto-Gase/Einheit)]],"")</f>
        <v/>
      </c>
      <c r="AY111" s="15" t="str">
        <f>IFERROR(Fuhrpark[[#This Row],[Wert 
(Zahl)]]*Fuhrpark[[#This Row],[EF Scope 2 CO2
(kg CO2/Einheit)]],"")</f>
        <v/>
      </c>
      <c r="AZ111" s="15" t="str">
        <f>IFERROR(Fuhrpark[[#This Row],[Wert 
(Zahl)]]*Fuhrpark[[#This Row],[EF Scope 2 CH4
(kg CH4/Einheit)]],"")</f>
        <v/>
      </c>
      <c r="BA111" s="15" t="str">
        <f>IFERROR(Fuhrpark[[#This Row],[Wert 
(Zahl)]]*Fuhrpark[[#This Row],[EF Scope 2 N2O
(kg N2O/Einheit)]],"")</f>
        <v/>
      </c>
      <c r="BB111" s="15" t="str">
        <f>IFERROR(Fuhrpark[[#This Row],[Wert 
(Zahl)]]*Fuhrpark[[#This Row],[EF Scope 2 HFCs
(kg HFCs/Einheit)]],"")</f>
        <v/>
      </c>
      <c r="BC111" s="15" t="str">
        <f>IFERROR(Fuhrpark[[#This Row],[Wert 
(Zahl)]]*Fuhrpark[[#This Row],[EF Scope 2 PFCs
(kg PFCs/Einheit)]],"")</f>
        <v/>
      </c>
      <c r="BD111" s="15" t="str">
        <f>IFERROR(Fuhrpark[[#This Row],[Wert 
(Zahl)]]*Fuhrpark[[#This Row],[EF Scope 2 SF6
(kg SF6/Einheit)]],"")</f>
        <v/>
      </c>
      <c r="BE111" s="15" t="str">
        <f>IFERROR(Fuhrpark[[#This Row],[Wert 
(Zahl)]]*Fuhrpark[[#This Row],[EF Scope 2 NF3
(kg NF3/Einheit)]],"")</f>
        <v/>
      </c>
      <c r="BF111" s="15" t="str">
        <f>IFERROR(Fuhrpark[[#This Row],[Wert 
(Zahl)]]*Fuhrpark[[#This Row],[EF Scope 2 Nicht-Kyoto-Gase (kg Nicht-Kyoto-Gase/Einheit)]],"")</f>
        <v/>
      </c>
      <c r="BG111" s="15" t="str">
        <f>IF(ISBLANK(Fuhrpark[[#This Row],[Wert 
(Zahl)]]),"",IFERROR(Fuhrpark[[#This Row],[Scope 1 CO2 '[kg CO2']]]*IFERROR(VLOOKUP("CO2",GWP_100[],3,FALSE),0),0))</f>
        <v/>
      </c>
      <c r="BH111" s="15" t="str">
        <f>IF(ISBLANK(Fuhrpark[[#This Row],[Wert 
(Zahl)]]),"",IFERROR(Fuhrpark[[#This Row],[Scope 1 CH4 '[kg CH4']]]*IFERROR(VLOOKUP("CH4",GWP_100[],4,FALSE),0),0))</f>
        <v/>
      </c>
      <c r="BI111" s="15" t="str">
        <f>IF(ISBLANK(Fuhrpark[[#This Row],[Wert 
(Zahl)]]),"",IFERROR(Fuhrpark[[#This Row],[Scope 1 N2O '[kg N2O']]]*IFERROR(VLOOKUP("N2O",GWP_100[],5,FALSE),0),0))</f>
        <v/>
      </c>
      <c r="BJ111" s="15" t="str">
        <f>IF(ISBLANK(Fuhrpark[[#This Row],[Wert 
(Zahl)]]),"",IFERROR(Fuhrpark[[#This Row],[Scope 1 HFCs '[kg HFCs']]]*IFERROR(VLOOKUP(Fuhrpark[[#This Row],[Emissionsquelle/Aktivität (Dropdown)]],GWP_100[],6,FALSE),0),0))</f>
        <v/>
      </c>
      <c r="BK111" s="15" t="str">
        <f>IF(ISBLANK(Fuhrpark[[#This Row],[Wert 
(Zahl)]]),"",IFERROR(Fuhrpark[[#This Row],[Scope 1 PFCs '[kg PFCs']]]*IFERROR(VLOOKUP(Fuhrpark[[#This Row],[Emissionsquelle/Aktivität (Dropdown)]],GWP_100[],7,FALSE),0),0))</f>
        <v/>
      </c>
      <c r="BL111" s="15" t="str">
        <f>IF(ISBLANK(Fuhrpark[[#This Row],[Wert 
(Zahl)]]),"",IFERROR(Fuhrpark[[#This Row],[Scope 1 SF6 '[kg SF6']]]*IFERROR(VLOOKUP("SF6",GWP_100[],8,FALSE),0),0))</f>
        <v/>
      </c>
      <c r="BM111" s="15" t="str">
        <f>IF(ISBLANK(Fuhrpark[[#This Row],[Wert 
(Zahl)]]),"",IFERROR(Fuhrpark[[#This Row],[Scope 1 NF3 '[kg NF3']]]*IFERROR(VLOOKUP("NF3",GWP_100[],9,FALSE),0),0))</f>
        <v/>
      </c>
      <c r="BN111" s="15" t="str">
        <f>IF(ISBLANK(Fuhrpark[[#This Row],[Wert 
(Zahl)]]),"",IFERROR(Fuhrpark[[#This Row],[Scope 1 non-Kyoto '[kg non-Kyoto gas']]]*IFERROR(VLOOKUP(Fuhrpark[[#This Row],[Emissionsquelle/Aktivität (Dropdown)]],GWP_100[],10,FALSE),0),0))</f>
        <v/>
      </c>
      <c r="BO111" s="15" t="str">
        <f>IF(ISBLANK(Fuhrpark[[#This Row],[Wert 
(Zahl)]]),"",IFERROR(Fuhrpark[[#This Row],[Scope 2 CO2 '[kg CO2']]]*IFERROR(VLOOKUP("CO2",GWP_100[],3,FALSE),0),0))</f>
        <v/>
      </c>
      <c r="BP111" s="15" t="str">
        <f>IF(ISBLANK(Fuhrpark[[#This Row],[Wert 
(Zahl)]]),"",IFERROR(Fuhrpark[[#This Row],[Scope 2 CH4 '[kg CH4']]]*IFERROR(VLOOKUP("CH4",GWP_100[],4,FALSE),0),0))</f>
        <v/>
      </c>
      <c r="BQ111" s="15" t="str">
        <f>IF(ISBLANK(Fuhrpark[[#This Row],[Wert 
(Zahl)]]),"",IFERROR(Fuhrpark[[#This Row],[Scope 2 N2O '[kg N2O']]]*IFERROR(VLOOKUP("N2O",GWP_100[],5,FALSE),0),0))</f>
        <v/>
      </c>
      <c r="BR111" s="15" t="str">
        <f>IF(ISBLANK(Fuhrpark[[#This Row],[Wert 
(Zahl)]]),"",IFERROR(Fuhrpark[[#This Row],[Scope 2 HFCs '[kg HFCs']]]*IFERROR(VLOOKUP(Fuhrpark[[#This Row],[Emissionsquelle/Aktivität (Dropdown)]],GWP_100[],6,FALSE),0),0))</f>
        <v/>
      </c>
      <c r="BS111" s="15" t="str">
        <f>IF(ISBLANK(Fuhrpark[[#This Row],[Wert 
(Zahl)]]),"",IFERROR(Fuhrpark[[#This Row],[Scope 2 PFCs '[kg PFCs']]]*IFERROR(VLOOKUP(Fuhrpark[[#This Row],[Emissionsquelle/Aktivität (Dropdown)]],GWP_100[],7,FALSE),0),0))</f>
        <v/>
      </c>
      <c r="BT111" s="15" t="str">
        <f>IF(ISBLANK(Fuhrpark[[#This Row],[Wert 
(Zahl)]]),"",IFERROR(Fuhrpark[[#This Row],[Scope 2 SF6 '[kg SF6']]]*IFERROR(VLOOKUP("SF6",GWP_100[],8,FALSE),0),0))</f>
        <v/>
      </c>
      <c r="BU111" s="15" t="str">
        <f>IF(ISBLANK(Fuhrpark[[#This Row],[Wert 
(Zahl)]]),"",IFERROR(Fuhrpark[[#This Row],[Scope 2 NF3 '[kg NF3']]]*IFERROR(VLOOKUP("NF3",GWP_100[],9,FALSE),0),0))</f>
        <v/>
      </c>
      <c r="BV111" s="15" t="str">
        <f>IF(ISBLANK(Fuhrpark[[#This Row],[Wert 
(Zahl)]]),"",IFERROR(Fuhrpark[[#This Row],[Scope 2 non-Kyoto '[kg non-Kyoto gas']]]*IFERROR(VLOOKUP(Fuhrpark[[#This Row],[Emissionsquelle/Aktivität (Dropdown)]],GWP_100[],10,FALSE),0),0))</f>
        <v/>
      </c>
    </row>
    <row r="112" spans="2:92" s="89" customFormat="1" x14ac:dyDescent="0.35">
      <c r="B112" s="604"/>
      <c r="C112" s="10" t="str">
        <f t="shared" si="3"/>
        <v>Fuhrpark</v>
      </c>
      <c r="D112" s="90"/>
      <c r="E112" s="90"/>
      <c r="F112" s="288"/>
      <c r="G112" s="10" t="str">
        <f>IFERROR(VLOOKUP(Fuhrpark[[#This Row],[Thema_Bezeichung]],EFs_Fuhrpark[],4,FALSE),"")</f>
        <v/>
      </c>
      <c r="H112" s="90"/>
      <c r="I112" s="90"/>
      <c r="J112" s="90"/>
      <c r="K112" s="90"/>
      <c r="L112" s="289" t="str">
        <f>IF(ISBLANK(Fuhrpark[[#This Row],[Wert 
(Zahl)]]),"", SUM(Fuhrpark[[#This Row],[Scope 1 CO2e '[kg CO2e']]:[Scope 3 CO2e '[kg CO2e']]]))</f>
        <v/>
      </c>
      <c r="M112" s="289" t="str">
        <f>IF(OR(ISBLANK(Fuhrpark[[#This Row],[Wert 
(Zahl)]]),Fuhrpark[[#This Row],[Emissionsquelle/Aktivität (Dropdown)]]&lt;&gt;"Strom (externes Laden, Deutschland)"),"", SUM(Fuhrpark[[#This Row],[Scope 1 CO2e '[kg CO2e']]],Fuhrpark[[#This Row],[Scope 2 CO2e market-based '[kg CO2e']]],Fuhrpark[[#This Row],[Scope 3 CO2e '[kg CO2e']]]))</f>
        <v/>
      </c>
      <c r="N112" s="408"/>
      <c r="O112" s="15" t="str">
        <f>IF(ISBLANK(Fuhrpark[[#This Row],[Emissionsquelle/Aktivität (Dropdown)]]),"",CONCATENATE(Fuhrpark[[#This Row],[Sektor_Thema]]," - ",Fuhrpark[[#This Row],[Emissionsquelle/Aktivität (Dropdown)]]))</f>
        <v/>
      </c>
      <c r="P112" s="15" t="str">
        <f>IF(ISBLANK(Fuhrpark[[#This Row],[Emissionsquelle/Aktivität (Dropdown)]]),"",AND(Fuhrpark[[#This Row],[Emissionsquelle/Aktivität (Dropdown)]]="Strom (externes laden, Deutschland)",ISNUMBER(Fuhrpark[[#This Row],[Scope-2-Emissionsfaktor Vertragsstrommix
'[g CO2e/kWh']
(falls verfügbar)]])))</f>
        <v/>
      </c>
      <c r="Q112" s="15" t="str">
        <f>IFERROR(VLOOKUP(Fuhrpark[[#This Row],[Thema_Bezeichung]],EFs_Fuhrpark[],5,FALSE),"")</f>
        <v/>
      </c>
      <c r="R112" s="15" t="str">
        <f>IFERROR(VLOOKUP(Fuhrpark[[#This Row],[Thema_Bezeichung]],EFs_Fuhrpark[],6,FALSE),"")</f>
        <v/>
      </c>
      <c r="S112" s="15" t="str">
        <f>IFERROR(VLOOKUP(Fuhrpark[[#This Row],[Thema_Bezeichung]],EFs_Fuhrpark[],7,FALSE),"")</f>
        <v/>
      </c>
      <c r="T112" s="15" t="str">
        <f>IFERROR(VLOOKUP(Fuhrpark[[#This Row],[Thema_Bezeichung]],EFs_Fuhrpark[],8,FALSE),"")</f>
        <v/>
      </c>
      <c r="U112" s="15" t="str">
        <f>IFERROR(VLOOKUP(Fuhrpark[[#This Row],[Thema_Bezeichung]],EFs_Fuhrpark[],9,FALSE),"")</f>
        <v/>
      </c>
      <c r="V112" s="15" t="str">
        <f>IFERROR(VLOOKUP(Fuhrpark[[#This Row],[Thema_Bezeichung]],EFs_Fuhrpark[],10,FALSE),"")</f>
        <v/>
      </c>
      <c r="W112" s="15" t="str">
        <f>IFERROR(VLOOKUP(Fuhrpark[[#This Row],[Thema_Bezeichung]],EFs_Fuhrpark[],11,FALSE),"")</f>
        <v/>
      </c>
      <c r="X112" s="15" t="str">
        <f>IFERROR(VLOOKUP(Fuhrpark[[#This Row],[Thema_Bezeichung]],EFs_Fuhrpark[],12,FALSE),"")</f>
        <v/>
      </c>
      <c r="Y112" s="15" t="str">
        <f>IFERROR(VLOOKUP(Fuhrpark[[#This Row],[Thema_Bezeichung]],EFs_Fuhrpark[],13,FALSE),"")</f>
        <v/>
      </c>
      <c r="Z112" s="15" t="str">
        <f>IFERROR(VLOOKUP(Fuhrpark[[#This Row],[Thema_Bezeichung]],EFs_Fuhrpark[],14,FALSE),"")</f>
        <v/>
      </c>
      <c r="AA112" s="15" t="str">
        <f>IFERROR(VLOOKUP(Fuhrpark[[#This Row],[Thema_Bezeichung]],EFs_Fuhrpark[],15,FALSE),"")</f>
        <v/>
      </c>
      <c r="AB112" s="15" t="str">
        <f>IF(Fuhrpark[[#This Row],[Vertragsstrommix angegegeben?]]=TRUE,Fuhrpark[[#This Row],[Scope-2-Emissionsfaktor Vertragsstrommix
'[g CO2e/kWh']
(falls verfügbar)]]/1000,IFERROR(VLOOKUP(Fuhrpark[[#This Row],[Thema_Bezeichung]],EFs_Fuhrpark[],15,FALSE),""))</f>
        <v/>
      </c>
      <c r="AC112" s="15" t="str">
        <f>IFERROR(VLOOKUP(Fuhrpark[[#This Row],[Thema_Bezeichung]],EFs_Fuhrpark[],16,FALSE),"")</f>
        <v/>
      </c>
      <c r="AD112" s="15" t="str">
        <f>IFERROR(VLOOKUP(Fuhrpark[[#This Row],[Thema_Bezeichung]],EFs_Fuhrpark[],17,FALSE),"")</f>
        <v/>
      </c>
      <c r="AE112" s="15" t="str">
        <f>IFERROR(VLOOKUP(Fuhrpark[[#This Row],[Thema_Bezeichung]],EFs_Fuhrpark[],18,FALSE),"")</f>
        <v/>
      </c>
      <c r="AF112" s="15" t="str">
        <f>IFERROR(VLOOKUP(Fuhrpark[[#This Row],[Thema_Bezeichung]],EFs_Fuhrpark[],19,FALSE),"")</f>
        <v/>
      </c>
      <c r="AG112" s="15" t="str">
        <f>IFERROR(VLOOKUP(Fuhrpark[[#This Row],[Thema_Bezeichung]],EFs_Fuhrpark[],20,FALSE),"")</f>
        <v/>
      </c>
      <c r="AH112" s="15" t="str">
        <f>IFERROR(VLOOKUP(Fuhrpark[[#This Row],[Thema_Bezeichung]],EFs_Fuhrpark[],21,FALSE),"")</f>
        <v/>
      </c>
      <c r="AI112" s="15" t="str">
        <f>IFERROR(VLOOKUP(Fuhrpark[[#This Row],[Thema_Bezeichung]],EFs_Fuhrpark[],22,FALSE),"")</f>
        <v/>
      </c>
      <c r="AJ112" s="15" t="str">
        <f>IFERROR(VLOOKUP(Fuhrpark[[#This Row],[Thema_Bezeichung]],EFs_Fuhrpark[],23,FALSE),"")</f>
        <v/>
      </c>
      <c r="AK112" s="15" t="str">
        <f>IFERROR(VLOOKUP(Fuhrpark[[#This Row],[Thema_Bezeichung]],EFs_Fuhrpark[],24,FALSE),"")</f>
        <v/>
      </c>
      <c r="AL112" s="15" t="str">
        <f>IFERROR(Fuhrpark[[#This Row],[Wert 
(Zahl)]]*Fuhrpark[[#This Row],[EF Scope 1 CO2e
(kg CO2e/Einheit)]],"")</f>
        <v/>
      </c>
      <c r="AM112" s="15" t="str">
        <f>IFERROR(Fuhrpark[[#This Row],[Wert 
(Zahl)]]*Fuhrpark[[#This Row],[EF Scope 2 CO2e
(kg CO2e/Einheit)]],"")</f>
        <v/>
      </c>
      <c r="AN112" s="15" t="str">
        <f>IFERROR(Fuhrpark[[#This Row],[Wert 
(Zahl)]]*Fuhrpark[[#This Row],[EF Scope 3 CO2e
(kg CO2e/Einheit)]],"")</f>
        <v/>
      </c>
      <c r="AO112" s="15" t="str">
        <f>IFERROR(Fuhrpark[[#This Row],[Wert 
(Zahl)]]*Fuhrpark[[#This Row],[EF Scope 1 CO2 biogen
(kg CO2 /Einheit)]],"")</f>
        <v/>
      </c>
      <c r="AP112" s="15" t="str">
        <f>IFERROR(Fuhrpark[[#This Row],[Wert 
(Zahl)]]*Fuhrpark[[#This Row],[Scope 2 Emissionsfaktor market-based '[kg CO2e/Einheit']]],"")</f>
        <v/>
      </c>
      <c r="AQ112" s="15" t="str">
        <f>IFERROR(Fuhrpark[[#This Row],[Wert 
(Zahl)]]*Fuhrpark[[#This Row],[EF Scope 1 CO2
(kg CO2/Einheit)]],"")</f>
        <v/>
      </c>
      <c r="AR112" s="15" t="str">
        <f>IFERROR(Fuhrpark[[#This Row],[Wert 
(Zahl)]]*Fuhrpark[[#This Row],[EF Scope 1 CH4
(kg CH4/Einheit)]],"")</f>
        <v/>
      </c>
      <c r="AS112" s="15" t="str">
        <f>IFERROR(Fuhrpark[[#This Row],[Wert 
(Zahl)]]*Fuhrpark[[#This Row],[EF Scope 1 N2O
(kg N2O/Einheit)]],"")</f>
        <v/>
      </c>
      <c r="AT112" s="15" t="str">
        <f>IFERROR(Fuhrpark[[#This Row],[Wert 
(Zahl)]]*Fuhrpark[[#This Row],[EF Scope 1 HFCs
(kg HFCs/Einheit)]],"")</f>
        <v/>
      </c>
      <c r="AU112" s="15" t="str">
        <f>IFERROR(Fuhrpark[[#This Row],[Wert 
(Zahl)]]*Fuhrpark[[#This Row],[EF Scope 1 PFCs
(kg PFCs/Einheit)]],"")</f>
        <v/>
      </c>
      <c r="AV112" s="15" t="str">
        <f>IFERROR(Fuhrpark[[#This Row],[Wert 
(Zahl)]]*Fuhrpark[[#This Row],[EF Scope 1 SF6
(kg SF6/Einheit)]],"")</f>
        <v/>
      </c>
      <c r="AW112" s="15" t="str">
        <f>IFERROR(Fuhrpark[[#This Row],[Wert 
(Zahl)]]*Fuhrpark[[#This Row],[EF Scope 1 NF3
(kg NF3/Einheit)]],"")</f>
        <v/>
      </c>
      <c r="AX112" s="15" t="str">
        <f>IFERROR(Fuhrpark[[#This Row],[Wert 
(Zahl)]]*Fuhrpark[[#This Row],[EF Scope 1 Nicht-Kyoto-Gase (kg Nicht-Kyoto-Gase/Einheit)]],"")</f>
        <v/>
      </c>
      <c r="AY112" s="15" t="str">
        <f>IFERROR(Fuhrpark[[#This Row],[Wert 
(Zahl)]]*Fuhrpark[[#This Row],[EF Scope 2 CO2
(kg CO2/Einheit)]],"")</f>
        <v/>
      </c>
      <c r="AZ112" s="15" t="str">
        <f>IFERROR(Fuhrpark[[#This Row],[Wert 
(Zahl)]]*Fuhrpark[[#This Row],[EF Scope 2 CH4
(kg CH4/Einheit)]],"")</f>
        <v/>
      </c>
      <c r="BA112" s="15" t="str">
        <f>IFERROR(Fuhrpark[[#This Row],[Wert 
(Zahl)]]*Fuhrpark[[#This Row],[EF Scope 2 N2O
(kg N2O/Einheit)]],"")</f>
        <v/>
      </c>
      <c r="BB112" s="15" t="str">
        <f>IFERROR(Fuhrpark[[#This Row],[Wert 
(Zahl)]]*Fuhrpark[[#This Row],[EF Scope 2 HFCs
(kg HFCs/Einheit)]],"")</f>
        <v/>
      </c>
      <c r="BC112" s="15" t="str">
        <f>IFERROR(Fuhrpark[[#This Row],[Wert 
(Zahl)]]*Fuhrpark[[#This Row],[EF Scope 2 PFCs
(kg PFCs/Einheit)]],"")</f>
        <v/>
      </c>
      <c r="BD112" s="15" t="str">
        <f>IFERROR(Fuhrpark[[#This Row],[Wert 
(Zahl)]]*Fuhrpark[[#This Row],[EF Scope 2 SF6
(kg SF6/Einheit)]],"")</f>
        <v/>
      </c>
      <c r="BE112" s="15" t="str">
        <f>IFERROR(Fuhrpark[[#This Row],[Wert 
(Zahl)]]*Fuhrpark[[#This Row],[EF Scope 2 NF3
(kg NF3/Einheit)]],"")</f>
        <v/>
      </c>
      <c r="BF112" s="15" t="str">
        <f>IFERROR(Fuhrpark[[#This Row],[Wert 
(Zahl)]]*Fuhrpark[[#This Row],[EF Scope 2 Nicht-Kyoto-Gase (kg Nicht-Kyoto-Gase/Einheit)]],"")</f>
        <v/>
      </c>
      <c r="BG112" s="15" t="str">
        <f>IF(ISBLANK(Fuhrpark[[#This Row],[Wert 
(Zahl)]]),"",IFERROR(Fuhrpark[[#This Row],[Scope 1 CO2 '[kg CO2']]]*IFERROR(VLOOKUP("CO2",GWP_100[],3,FALSE),0),0))</f>
        <v/>
      </c>
      <c r="BH112" s="15" t="str">
        <f>IF(ISBLANK(Fuhrpark[[#This Row],[Wert 
(Zahl)]]),"",IFERROR(Fuhrpark[[#This Row],[Scope 1 CH4 '[kg CH4']]]*IFERROR(VLOOKUP("CH4",GWP_100[],4,FALSE),0),0))</f>
        <v/>
      </c>
      <c r="BI112" s="15" t="str">
        <f>IF(ISBLANK(Fuhrpark[[#This Row],[Wert 
(Zahl)]]),"",IFERROR(Fuhrpark[[#This Row],[Scope 1 N2O '[kg N2O']]]*IFERROR(VLOOKUP("N2O",GWP_100[],5,FALSE),0),0))</f>
        <v/>
      </c>
      <c r="BJ112" s="15" t="str">
        <f>IF(ISBLANK(Fuhrpark[[#This Row],[Wert 
(Zahl)]]),"",IFERROR(Fuhrpark[[#This Row],[Scope 1 HFCs '[kg HFCs']]]*IFERROR(VLOOKUP(Fuhrpark[[#This Row],[Emissionsquelle/Aktivität (Dropdown)]],GWP_100[],6,FALSE),0),0))</f>
        <v/>
      </c>
      <c r="BK112" s="15" t="str">
        <f>IF(ISBLANK(Fuhrpark[[#This Row],[Wert 
(Zahl)]]),"",IFERROR(Fuhrpark[[#This Row],[Scope 1 PFCs '[kg PFCs']]]*IFERROR(VLOOKUP(Fuhrpark[[#This Row],[Emissionsquelle/Aktivität (Dropdown)]],GWP_100[],7,FALSE),0),0))</f>
        <v/>
      </c>
      <c r="BL112" s="15" t="str">
        <f>IF(ISBLANK(Fuhrpark[[#This Row],[Wert 
(Zahl)]]),"",IFERROR(Fuhrpark[[#This Row],[Scope 1 SF6 '[kg SF6']]]*IFERROR(VLOOKUP("SF6",GWP_100[],8,FALSE),0),0))</f>
        <v/>
      </c>
      <c r="BM112" s="15" t="str">
        <f>IF(ISBLANK(Fuhrpark[[#This Row],[Wert 
(Zahl)]]),"",IFERROR(Fuhrpark[[#This Row],[Scope 1 NF3 '[kg NF3']]]*IFERROR(VLOOKUP("NF3",GWP_100[],9,FALSE),0),0))</f>
        <v/>
      </c>
      <c r="BN112" s="15" t="str">
        <f>IF(ISBLANK(Fuhrpark[[#This Row],[Wert 
(Zahl)]]),"",IFERROR(Fuhrpark[[#This Row],[Scope 1 non-Kyoto '[kg non-Kyoto gas']]]*IFERROR(VLOOKUP(Fuhrpark[[#This Row],[Emissionsquelle/Aktivität (Dropdown)]],GWP_100[],10,FALSE),0),0))</f>
        <v/>
      </c>
      <c r="BO112" s="15" t="str">
        <f>IF(ISBLANK(Fuhrpark[[#This Row],[Wert 
(Zahl)]]),"",IFERROR(Fuhrpark[[#This Row],[Scope 2 CO2 '[kg CO2']]]*IFERROR(VLOOKUP("CO2",GWP_100[],3,FALSE),0),0))</f>
        <v/>
      </c>
      <c r="BP112" s="15" t="str">
        <f>IF(ISBLANK(Fuhrpark[[#This Row],[Wert 
(Zahl)]]),"",IFERROR(Fuhrpark[[#This Row],[Scope 2 CH4 '[kg CH4']]]*IFERROR(VLOOKUP("CH4",GWP_100[],4,FALSE),0),0))</f>
        <v/>
      </c>
      <c r="BQ112" s="15" t="str">
        <f>IF(ISBLANK(Fuhrpark[[#This Row],[Wert 
(Zahl)]]),"",IFERROR(Fuhrpark[[#This Row],[Scope 2 N2O '[kg N2O']]]*IFERROR(VLOOKUP("N2O",GWP_100[],5,FALSE),0),0))</f>
        <v/>
      </c>
      <c r="BR112" s="15" t="str">
        <f>IF(ISBLANK(Fuhrpark[[#This Row],[Wert 
(Zahl)]]),"",IFERROR(Fuhrpark[[#This Row],[Scope 2 HFCs '[kg HFCs']]]*IFERROR(VLOOKUP(Fuhrpark[[#This Row],[Emissionsquelle/Aktivität (Dropdown)]],GWP_100[],6,FALSE),0),0))</f>
        <v/>
      </c>
      <c r="BS112" s="15" t="str">
        <f>IF(ISBLANK(Fuhrpark[[#This Row],[Wert 
(Zahl)]]),"",IFERROR(Fuhrpark[[#This Row],[Scope 2 PFCs '[kg PFCs']]]*IFERROR(VLOOKUP(Fuhrpark[[#This Row],[Emissionsquelle/Aktivität (Dropdown)]],GWP_100[],7,FALSE),0),0))</f>
        <v/>
      </c>
      <c r="BT112" s="15" t="str">
        <f>IF(ISBLANK(Fuhrpark[[#This Row],[Wert 
(Zahl)]]),"",IFERROR(Fuhrpark[[#This Row],[Scope 2 SF6 '[kg SF6']]]*IFERROR(VLOOKUP("SF6",GWP_100[],8,FALSE),0),0))</f>
        <v/>
      </c>
      <c r="BU112" s="15" t="str">
        <f>IF(ISBLANK(Fuhrpark[[#This Row],[Wert 
(Zahl)]]),"",IFERROR(Fuhrpark[[#This Row],[Scope 2 NF3 '[kg NF3']]]*IFERROR(VLOOKUP("NF3",GWP_100[],9,FALSE),0),0))</f>
        <v/>
      </c>
      <c r="BV112" s="15" t="str">
        <f>IF(ISBLANK(Fuhrpark[[#This Row],[Wert 
(Zahl)]]),"",IFERROR(Fuhrpark[[#This Row],[Scope 2 non-Kyoto '[kg non-Kyoto gas']]]*IFERROR(VLOOKUP(Fuhrpark[[#This Row],[Emissionsquelle/Aktivität (Dropdown)]],GWP_100[],10,FALSE),0),0))</f>
        <v/>
      </c>
    </row>
    <row r="113" spans="2:92" s="89" customFormat="1" x14ac:dyDescent="0.35">
      <c r="B113" s="604"/>
      <c r="C113" s="10" t="str">
        <f t="shared" si="3"/>
        <v>Fuhrpark</v>
      </c>
      <c r="D113" s="90"/>
      <c r="E113" s="90"/>
      <c r="F113" s="288"/>
      <c r="G113" s="10" t="str">
        <f>IFERROR(VLOOKUP(Fuhrpark[[#This Row],[Thema_Bezeichung]],EFs_Fuhrpark[],4,FALSE),"")</f>
        <v/>
      </c>
      <c r="H113" s="90"/>
      <c r="I113" s="90"/>
      <c r="J113" s="90"/>
      <c r="K113" s="90"/>
      <c r="L113" s="289" t="str">
        <f>IF(ISBLANK(Fuhrpark[[#This Row],[Wert 
(Zahl)]]),"", SUM(Fuhrpark[[#This Row],[Scope 1 CO2e '[kg CO2e']]:[Scope 3 CO2e '[kg CO2e']]]))</f>
        <v/>
      </c>
      <c r="M113" s="289" t="str">
        <f>IF(OR(ISBLANK(Fuhrpark[[#This Row],[Wert 
(Zahl)]]),Fuhrpark[[#This Row],[Emissionsquelle/Aktivität (Dropdown)]]&lt;&gt;"Strom (externes Laden, Deutschland)"),"", SUM(Fuhrpark[[#This Row],[Scope 1 CO2e '[kg CO2e']]],Fuhrpark[[#This Row],[Scope 2 CO2e market-based '[kg CO2e']]],Fuhrpark[[#This Row],[Scope 3 CO2e '[kg CO2e']]]))</f>
        <v/>
      </c>
      <c r="N113" s="408"/>
      <c r="O113" s="15" t="str">
        <f>IF(ISBLANK(Fuhrpark[[#This Row],[Emissionsquelle/Aktivität (Dropdown)]]),"",CONCATENATE(Fuhrpark[[#This Row],[Sektor_Thema]]," - ",Fuhrpark[[#This Row],[Emissionsquelle/Aktivität (Dropdown)]]))</f>
        <v/>
      </c>
      <c r="P113" s="15" t="str">
        <f>IF(ISBLANK(Fuhrpark[[#This Row],[Emissionsquelle/Aktivität (Dropdown)]]),"",AND(Fuhrpark[[#This Row],[Emissionsquelle/Aktivität (Dropdown)]]="Strom (externes laden, Deutschland)",ISNUMBER(Fuhrpark[[#This Row],[Scope-2-Emissionsfaktor Vertragsstrommix
'[g CO2e/kWh']
(falls verfügbar)]])))</f>
        <v/>
      </c>
      <c r="Q113" s="15" t="str">
        <f>IFERROR(VLOOKUP(Fuhrpark[[#This Row],[Thema_Bezeichung]],EFs_Fuhrpark[],5,FALSE),"")</f>
        <v/>
      </c>
      <c r="R113" s="15" t="str">
        <f>IFERROR(VLOOKUP(Fuhrpark[[#This Row],[Thema_Bezeichung]],EFs_Fuhrpark[],6,FALSE),"")</f>
        <v/>
      </c>
      <c r="S113" s="15" t="str">
        <f>IFERROR(VLOOKUP(Fuhrpark[[#This Row],[Thema_Bezeichung]],EFs_Fuhrpark[],7,FALSE),"")</f>
        <v/>
      </c>
      <c r="T113" s="15" t="str">
        <f>IFERROR(VLOOKUP(Fuhrpark[[#This Row],[Thema_Bezeichung]],EFs_Fuhrpark[],8,FALSE),"")</f>
        <v/>
      </c>
      <c r="U113" s="15" t="str">
        <f>IFERROR(VLOOKUP(Fuhrpark[[#This Row],[Thema_Bezeichung]],EFs_Fuhrpark[],9,FALSE),"")</f>
        <v/>
      </c>
      <c r="V113" s="15" t="str">
        <f>IFERROR(VLOOKUP(Fuhrpark[[#This Row],[Thema_Bezeichung]],EFs_Fuhrpark[],10,FALSE),"")</f>
        <v/>
      </c>
      <c r="W113" s="15" t="str">
        <f>IFERROR(VLOOKUP(Fuhrpark[[#This Row],[Thema_Bezeichung]],EFs_Fuhrpark[],11,FALSE),"")</f>
        <v/>
      </c>
      <c r="X113" s="15" t="str">
        <f>IFERROR(VLOOKUP(Fuhrpark[[#This Row],[Thema_Bezeichung]],EFs_Fuhrpark[],12,FALSE),"")</f>
        <v/>
      </c>
      <c r="Y113" s="15" t="str">
        <f>IFERROR(VLOOKUP(Fuhrpark[[#This Row],[Thema_Bezeichung]],EFs_Fuhrpark[],13,FALSE),"")</f>
        <v/>
      </c>
      <c r="Z113" s="15" t="str">
        <f>IFERROR(VLOOKUP(Fuhrpark[[#This Row],[Thema_Bezeichung]],EFs_Fuhrpark[],14,FALSE),"")</f>
        <v/>
      </c>
      <c r="AA113" s="15" t="str">
        <f>IFERROR(VLOOKUP(Fuhrpark[[#This Row],[Thema_Bezeichung]],EFs_Fuhrpark[],15,FALSE),"")</f>
        <v/>
      </c>
      <c r="AB113" s="15" t="str">
        <f>IF(Fuhrpark[[#This Row],[Vertragsstrommix angegegeben?]]=TRUE,Fuhrpark[[#This Row],[Scope-2-Emissionsfaktor Vertragsstrommix
'[g CO2e/kWh']
(falls verfügbar)]]/1000,IFERROR(VLOOKUP(Fuhrpark[[#This Row],[Thema_Bezeichung]],EFs_Fuhrpark[],15,FALSE),""))</f>
        <v/>
      </c>
      <c r="AC113" s="15" t="str">
        <f>IFERROR(VLOOKUP(Fuhrpark[[#This Row],[Thema_Bezeichung]],EFs_Fuhrpark[],16,FALSE),"")</f>
        <v/>
      </c>
      <c r="AD113" s="15" t="str">
        <f>IFERROR(VLOOKUP(Fuhrpark[[#This Row],[Thema_Bezeichung]],EFs_Fuhrpark[],17,FALSE),"")</f>
        <v/>
      </c>
      <c r="AE113" s="15" t="str">
        <f>IFERROR(VLOOKUP(Fuhrpark[[#This Row],[Thema_Bezeichung]],EFs_Fuhrpark[],18,FALSE),"")</f>
        <v/>
      </c>
      <c r="AF113" s="15" t="str">
        <f>IFERROR(VLOOKUP(Fuhrpark[[#This Row],[Thema_Bezeichung]],EFs_Fuhrpark[],19,FALSE),"")</f>
        <v/>
      </c>
      <c r="AG113" s="15" t="str">
        <f>IFERROR(VLOOKUP(Fuhrpark[[#This Row],[Thema_Bezeichung]],EFs_Fuhrpark[],20,FALSE),"")</f>
        <v/>
      </c>
      <c r="AH113" s="15" t="str">
        <f>IFERROR(VLOOKUP(Fuhrpark[[#This Row],[Thema_Bezeichung]],EFs_Fuhrpark[],21,FALSE),"")</f>
        <v/>
      </c>
      <c r="AI113" s="15" t="str">
        <f>IFERROR(VLOOKUP(Fuhrpark[[#This Row],[Thema_Bezeichung]],EFs_Fuhrpark[],22,FALSE),"")</f>
        <v/>
      </c>
      <c r="AJ113" s="15" t="str">
        <f>IFERROR(VLOOKUP(Fuhrpark[[#This Row],[Thema_Bezeichung]],EFs_Fuhrpark[],23,FALSE),"")</f>
        <v/>
      </c>
      <c r="AK113" s="15" t="str">
        <f>IFERROR(VLOOKUP(Fuhrpark[[#This Row],[Thema_Bezeichung]],EFs_Fuhrpark[],24,FALSE),"")</f>
        <v/>
      </c>
      <c r="AL113" s="15" t="str">
        <f>IFERROR(Fuhrpark[[#This Row],[Wert 
(Zahl)]]*Fuhrpark[[#This Row],[EF Scope 1 CO2e
(kg CO2e/Einheit)]],"")</f>
        <v/>
      </c>
      <c r="AM113" s="15" t="str">
        <f>IFERROR(Fuhrpark[[#This Row],[Wert 
(Zahl)]]*Fuhrpark[[#This Row],[EF Scope 2 CO2e
(kg CO2e/Einheit)]],"")</f>
        <v/>
      </c>
      <c r="AN113" s="15" t="str">
        <f>IFERROR(Fuhrpark[[#This Row],[Wert 
(Zahl)]]*Fuhrpark[[#This Row],[EF Scope 3 CO2e
(kg CO2e/Einheit)]],"")</f>
        <v/>
      </c>
      <c r="AO113" s="15" t="str">
        <f>IFERROR(Fuhrpark[[#This Row],[Wert 
(Zahl)]]*Fuhrpark[[#This Row],[EF Scope 1 CO2 biogen
(kg CO2 /Einheit)]],"")</f>
        <v/>
      </c>
      <c r="AP113" s="15" t="str">
        <f>IFERROR(Fuhrpark[[#This Row],[Wert 
(Zahl)]]*Fuhrpark[[#This Row],[Scope 2 Emissionsfaktor market-based '[kg CO2e/Einheit']]],"")</f>
        <v/>
      </c>
      <c r="AQ113" s="15" t="str">
        <f>IFERROR(Fuhrpark[[#This Row],[Wert 
(Zahl)]]*Fuhrpark[[#This Row],[EF Scope 1 CO2
(kg CO2/Einheit)]],"")</f>
        <v/>
      </c>
      <c r="AR113" s="15" t="str">
        <f>IFERROR(Fuhrpark[[#This Row],[Wert 
(Zahl)]]*Fuhrpark[[#This Row],[EF Scope 1 CH4
(kg CH4/Einheit)]],"")</f>
        <v/>
      </c>
      <c r="AS113" s="15" t="str">
        <f>IFERROR(Fuhrpark[[#This Row],[Wert 
(Zahl)]]*Fuhrpark[[#This Row],[EF Scope 1 N2O
(kg N2O/Einheit)]],"")</f>
        <v/>
      </c>
      <c r="AT113" s="15" t="str">
        <f>IFERROR(Fuhrpark[[#This Row],[Wert 
(Zahl)]]*Fuhrpark[[#This Row],[EF Scope 1 HFCs
(kg HFCs/Einheit)]],"")</f>
        <v/>
      </c>
      <c r="AU113" s="15" t="str">
        <f>IFERROR(Fuhrpark[[#This Row],[Wert 
(Zahl)]]*Fuhrpark[[#This Row],[EF Scope 1 PFCs
(kg PFCs/Einheit)]],"")</f>
        <v/>
      </c>
      <c r="AV113" s="15" t="str">
        <f>IFERROR(Fuhrpark[[#This Row],[Wert 
(Zahl)]]*Fuhrpark[[#This Row],[EF Scope 1 SF6
(kg SF6/Einheit)]],"")</f>
        <v/>
      </c>
      <c r="AW113" s="15" t="str">
        <f>IFERROR(Fuhrpark[[#This Row],[Wert 
(Zahl)]]*Fuhrpark[[#This Row],[EF Scope 1 NF3
(kg NF3/Einheit)]],"")</f>
        <v/>
      </c>
      <c r="AX113" s="15" t="str">
        <f>IFERROR(Fuhrpark[[#This Row],[Wert 
(Zahl)]]*Fuhrpark[[#This Row],[EF Scope 1 Nicht-Kyoto-Gase (kg Nicht-Kyoto-Gase/Einheit)]],"")</f>
        <v/>
      </c>
      <c r="AY113" s="15" t="str">
        <f>IFERROR(Fuhrpark[[#This Row],[Wert 
(Zahl)]]*Fuhrpark[[#This Row],[EF Scope 2 CO2
(kg CO2/Einheit)]],"")</f>
        <v/>
      </c>
      <c r="AZ113" s="15" t="str">
        <f>IFERROR(Fuhrpark[[#This Row],[Wert 
(Zahl)]]*Fuhrpark[[#This Row],[EF Scope 2 CH4
(kg CH4/Einheit)]],"")</f>
        <v/>
      </c>
      <c r="BA113" s="15" t="str">
        <f>IFERROR(Fuhrpark[[#This Row],[Wert 
(Zahl)]]*Fuhrpark[[#This Row],[EF Scope 2 N2O
(kg N2O/Einheit)]],"")</f>
        <v/>
      </c>
      <c r="BB113" s="15" t="str">
        <f>IFERROR(Fuhrpark[[#This Row],[Wert 
(Zahl)]]*Fuhrpark[[#This Row],[EF Scope 2 HFCs
(kg HFCs/Einheit)]],"")</f>
        <v/>
      </c>
      <c r="BC113" s="15" t="str">
        <f>IFERROR(Fuhrpark[[#This Row],[Wert 
(Zahl)]]*Fuhrpark[[#This Row],[EF Scope 2 PFCs
(kg PFCs/Einheit)]],"")</f>
        <v/>
      </c>
      <c r="BD113" s="15" t="str">
        <f>IFERROR(Fuhrpark[[#This Row],[Wert 
(Zahl)]]*Fuhrpark[[#This Row],[EF Scope 2 SF6
(kg SF6/Einheit)]],"")</f>
        <v/>
      </c>
      <c r="BE113" s="15" t="str">
        <f>IFERROR(Fuhrpark[[#This Row],[Wert 
(Zahl)]]*Fuhrpark[[#This Row],[EF Scope 2 NF3
(kg NF3/Einheit)]],"")</f>
        <v/>
      </c>
      <c r="BF113" s="15" t="str">
        <f>IFERROR(Fuhrpark[[#This Row],[Wert 
(Zahl)]]*Fuhrpark[[#This Row],[EF Scope 2 Nicht-Kyoto-Gase (kg Nicht-Kyoto-Gase/Einheit)]],"")</f>
        <v/>
      </c>
      <c r="BG113" s="15" t="str">
        <f>IF(ISBLANK(Fuhrpark[[#This Row],[Wert 
(Zahl)]]),"",IFERROR(Fuhrpark[[#This Row],[Scope 1 CO2 '[kg CO2']]]*IFERROR(VLOOKUP("CO2",GWP_100[],3,FALSE),0),0))</f>
        <v/>
      </c>
      <c r="BH113" s="15" t="str">
        <f>IF(ISBLANK(Fuhrpark[[#This Row],[Wert 
(Zahl)]]),"",IFERROR(Fuhrpark[[#This Row],[Scope 1 CH4 '[kg CH4']]]*IFERROR(VLOOKUP("CH4",GWP_100[],4,FALSE),0),0))</f>
        <v/>
      </c>
      <c r="BI113" s="15" t="str">
        <f>IF(ISBLANK(Fuhrpark[[#This Row],[Wert 
(Zahl)]]),"",IFERROR(Fuhrpark[[#This Row],[Scope 1 N2O '[kg N2O']]]*IFERROR(VLOOKUP("N2O",GWP_100[],5,FALSE),0),0))</f>
        <v/>
      </c>
      <c r="BJ113" s="15" t="str">
        <f>IF(ISBLANK(Fuhrpark[[#This Row],[Wert 
(Zahl)]]),"",IFERROR(Fuhrpark[[#This Row],[Scope 1 HFCs '[kg HFCs']]]*IFERROR(VLOOKUP(Fuhrpark[[#This Row],[Emissionsquelle/Aktivität (Dropdown)]],GWP_100[],6,FALSE),0),0))</f>
        <v/>
      </c>
      <c r="BK113" s="15" t="str">
        <f>IF(ISBLANK(Fuhrpark[[#This Row],[Wert 
(Zahl)]]),"",IFERROR(Fuhrpark[[#This Row],[Scope 1 PFCs '[kg PFCs']]]*IFERROR(VLOOKUP(Fuhrpark[[#This Row],[Emissionsquelle/Aktivität (Dropdown)]],GWP_100[],7,FALSE),0),0))</f>
        <v/>
      </c>
      <c r="BL113" s="15" t="str">
        <f>IF(ISBLANK(Fuhrpark[[#This Row],[Wert 
(Zahl)]]),"",IFERROR(Fuhrpark[[#This Row],[Scope 1 SF6 '[kg SF6']]]*IFERROR(VLOOKUP("SF6",GWP_100[],8,FALSE),0),0))</f>
        <v/>
      </c>
      <c r="BM113" s="15" t="str">
        <f>IF(ISBLANK(Fuhrpark[[#This Row],[Wert 
(Zahl)]]),"",IFERROR(Fuhrpark[[#This Row],[Scope 1 NF3 '[kg NF3']]]*IFERROR(VLOOKUP("NF3",GWP_100[],9,FALSE),0),0))</f>
        <v/>
      </c>
      <c r="BN113" s="15" t="str">
        <f>IF(ISBLANK(Fuhrpark[[#This Row],[Wert 
(Zahl)]]),"",IFERROR(Fuhrpark[[#This Row],[Scope 1 non-Kyoto '[kg non-Kyoto gas']]]*IFERROR(VLOOKUP(Fuhrpark[[#This Row],[Emissionsquelle/Aktivität (Dropdown)]],GWP_100[],10,FALSE),0),0))</f>
        <v/>
      </c>
      <c r="BO113" s="15" t="str">
        <f>IF(ISBLANK(Fuhrpark[[#This Row],[Wert 
(Zahl)]]),"",IFERROR(Fuhrpark[[#This Row],[Scope 2 CO2 '[kg CO2']]]*IFERROR(VLOOKUP("CO2",GWP_100[],3,FALSE),0),0))</f>
        <v/>
      </c>
      <c r="BP113" s="15" t="str">
        <f>IF(ISBLANK(Fuhrpark[[#This Row],[Wert 
(Zahl)]]),"",IFERROR(Fuhrpark[[#This Row],[Scope 2 CH4 '[kg CH4']]]*IFERROR(VLOOKUP("CH4",GWP_100[],4,FALSE),0),0))</f>
        <v/>
      </c>
      <c r="BQ113" s="15" t="str">
        <f>IF(ISBLANK(Fuhrpark[[#This Row],[Wert 
(Zahl)]]),"",IFERROR(Fuhrpark[[#This Row],[Scope 2 N2O '[kg N2O']]]*IFERROR(VLOOKUP("N2O",GWP_100[],5,FALSE),0),0))</f>
        <v/>
      </c>
      <c r="BR113" s="15" t="str">
        <f>IF(ISBLANK(Fuhrpark[[#This Row],[Wert 
(Zahl)]]),"",IFERROR(Fuhrpark[[#This Row],[Scope 2 HFCs '[kg HFCs']]]*IFERROR(VLOOKUP(Fuhrpark[[#This Row],[Emissionsquelle/Aktivität (Dropdown)]],GWP_100[],6,FALSE),0),0))</f>
        <v/>
      </c>
      <c r="BS113" s="15" t="str">
        <f>IF(ISBLANK(Fuhrpark[[#This Row],[Wert 
(Zahl)]]),"",IFERROR(Fuhrpark[[#This Row],[Scope 2 PFCs '[kg PFCs']]]*IFERROR(VLOOKUP(Fuhrpark[[#This Row],[Emissionsquelle/Aktivität (Dropdown)]],GWP_100[],7,FALSE),0),0))</f>
        <v/>
      </c>
      <c r="BT113" s="15" t="str">
        <f>IF(ISBLANK(Fuhrpark[[#This Row],[Wert 
(Zahl)]]),"",IFERROR(Fuhrpark[[#This Row],[Scope 2 SF6 '[kg SF6']]]*IFERROR(VLOOKUP("SF6",GWP_100[],8,FALSE),0),0))</f>
        <v/>
      </c>
      <c r="BU113" s="15" t="str">
        <f>IF(ISBLANK(Fuhrpark[[#This Row],[Wert 
(Zahl)]]),"",IFERROR(Fuhrpark[[#This Row],[Scope 2 NF3 '[kg NF3']]]*IFERROR(VLOOKUP("NF3",GWP_100[],9,FALSE),0),0))</f>
        <v/>
      </c>
      <c r="BV113" s="15" t="str">
        <f>IF(ISBLANK(Fuhrpark[[#This Row],[Wert 
(Zahl)]]),"",IFERROR(Fuhrpark[[#This Row],[Scope 2 non-Kyoto '[kg non-Kyoto gas']]]*IFERROR(VLOOKUP(Fuhrpark[[#This Row],[Emissionsquelle/Aktivität (Dropdown)]],GWP_100[],10,FALSE),0),0))</f>
        <v/>
      </c>
    </row>
    <row r="114" spans="2:92" s="89" customFormat="1" x14ac:dyDescent="0.35">
      <c r="B114" s="604"/>
      <c r="C114" s="10" t="str">
        <f t="shared" si="3"/>
        <v>Fuhrpark</v>
      </c>
      <c r="D114" s="90"/>
      <c r="E114" s="90"/>
      <c r="F114" s="288"/>
      <c r="G114" s="10" t="str">
        <f>IFERROR(VLOOKUP(Fuhrpark[[#This Row],[Thema_Bezeichung]],EFs_Fuhrpark[],4,FALSE),"")</f>
        <v/>
      </c>
      <c r="H114" s="90"/>
      <c r="I114" s="90"/>
      <c r="J114" s="90"/>
      <c r="K114" s="90"/>
      <c r="L114" s="289" t="str">
        <f>IF(ISBLANK(Fuhrpark[[#This Row],[Wert 
(Zahl)]]),"", SUM(Fuhrpark[[#This Row],[Scope 1 CO2e '[kg CO2e']]:[Scope 3 CO2e '[kg CO2e']]]))</f>
        <v/>
      </c>
      <c r="M114" s="289" t="str">
        <f>IF(OR(ISBLANK(Fuhrpark[[#This Row],[Wert 
(Zahl)]]),Fuhrpark[[#This Row],[Emissionsquelle/Aktivität (Dropdown)]]&lt;&gt;"Strom (externes Laden, Deutschland)"),"", SUM(Fuhrpark[[#This Row],[Scope 1 CO2e '[kg CO2e']]],Fuhrpark[[#This Row],[Scope 2 CO2e market-based '[kg CO2e']]],Fuhrpark[[#This Row],[Scope 3 CO2e '[kg CO2e']]]))</f>
        <v/>
      </c>
      <c r="N114" s="408"/>
      <c r="O114" s="15" t="str">
        <f>IF(ISBLANK(Fuhrpark[[#This Row],[Emissionsquelle/Aktivität (Dropdown)]]),"",CONCATENATE(Fuhrpark[[#This Row],[Sektor_Thema]]," - ",Fuhrpark[[#This Row],[Emissionsquelle/Aktivität (Dropdown)]]))</f>
        <v/>
      </c>
      <c r="P114" s="15" t="str">
        <f>IF(ISBLANK(Fuhrpark[[#This Row],[Emissionsquelle/Aktivität (Dropdown)]]),"",AND(Fuhrpark[[#This Row],[Emissionsquelle/Aktivität (Dropdown)]]="Strom (externes laden, Deutschland)",ISNUMBER(Fuhrpark[[#This Row],[Scope-2-Emissionsfaktor Vertragsstrommix
'[g CO2e/kWh']
(falls verfügbar)]])))</f>
        <v/>
      </c>
      <c r="Q114" s="15" t="str">
        <f>IFERROR(VLOOKUP(Fuhrpark[[#This Row],[Thema_Bezeichung]],EFs_Fuhrpark[],5,FALSE),"")</f>
        <v/>
      </c>
      <c r="R114" s="15" t="str">
        <f>IFERROR(VLOOKUP(Fuhrpark[[#This Row],[Thema_Bezeichung]],EFs_Fuhrpark[],6,FALSE),"")</f>
        <v/>
      </c>
      <c r="S114" s="15" t="str">
        <f>IFERROR(VLOOKUP(Fuhrpark[[#This Row],[Thema_Bezeichung]],EFs_Fuhrpark[],7,FALSE),"")</f>
        <v/>
      </c>
      <c r="T114" s="15" t="str">
        <f>IFERROR(VLOOKUP(Fuhrpark[[#This Row],[Thema_Bezeichung]],EFs_Fuhrpark[],8,FALSE),"")</f>
        <v/>
      </c>
      <c r="U114" s="15" t="str">
        <f>IFERROR(VLOOKUP(Fuhrpark[[#This Row],[Thema_Bezeichung]],EFs_Fuhrpark[],9,FALSE),"")</f>
        <v/>
      </c>
      <c r="V114" s="15" t="str">
        <f>IFERROR(VLOOKUP(Fuhrpark[[#This Row],[Thema_Bezeichung]],EFs_Fuhrpark[],10,FALSE),"")</f>
        <v/>
      </c>
      <c r="W114" s="15" t="str">
        <f>IFERROR(VLOOKUP(Fuhrpark[[#This Row],[Thema_Bezeichung]],EFs_Fuhrpark[],11,FALSE),"")</f>
        <v/>
      </c>
      <c r="X114" s="15" t="str">
        <f>IFERROR(VLOOKUP(Fuhrpark[[#This Row],[Thema_Bezeichung]],EFs_Fuhrpark[],12,FALSE),"")</f>
        <v/>
      </c>
      <c r="Y114" s="15" t="str">
        <f>IFERROR(VLOOKUP(Fuhrpark[[#This Row],[Thema_Bezeichung]],EFs_Fuhrpark[],13,FALSE),"")</f>
        <v/>
      </c>
      <c r="Z114" s="15" t="str">
        <f>IFERROR(VLOOKUP(Fuhrpark[[#This Row],[Thema_Bezeichung]],EFs_Fuhrpark[],14,FALSE),"")</f>
        <v/>
      </c>
      <c r="AA114" s="15" t="str">
        <f>IFERROR(VLOOKUP(Fuhrpark[[#This Row],[Thema_Bezeichung]],EFs_Fuhrpark[],15,FALSE),"")</f>
        <v/>
      </c>
      <c r="AB114" s="15" t="str">
        <f>IF(Fuhrpark[[#This Row],[Vertragsstrommix angegegeben?]]=TRUE,Fuhrpark[[#This Row],[Scope-2-Emissionsfaktor Vertragsstrommix
'[g CO2e/kWh']
(falls verfügbar)]]/1000,IFERROR(VLOOKUP(Fuhrpark[[#This Row],[Thema_Bezeichung]],EFs_Fuhrpark[],15,FALSE),""))</f>
        <v/>
      </c>
      <c r="AC114" s="15" t="str">
        <f>IFERROR(VLOOKUP(Fuhrpark[[#This Row],[Thema_Bezeichung]],EFs_Fuhrpark[],16,FALSE),"")</f>
        <v/>
      </c>
      <c r="AD114" s="15" t="str">
        <f>IFERROR(VLOOKUP(Fuhrpark[[#This Row],[Thema_Bezeichung]],EFs_Fuhrpark[],17,FALSE),"")</f>
        <v/>
      </c>
      <c r="AE114" s="15" t="str">
        <f>IFERROR(VLOOKUP(Fuhrpark[[#This Row],[Thema_Bezeichung]],EFs_Fuhrpark[],18,FALSE),"")</f>
        <v/>
      </c>
      <c r="AF114" s="15" t="str">
        <f>IFERROR(VLOOKUP(Fuhrpark[[#This Row],[Thema_Bezeichung]],EFs_Fuhrpark[],19,FALSE),"")</f>
        <v/>
      </c>
      <c r="AG114" s="15" t="str">
        <f>IFERROR(VLOOKUP(Fuhrpark[[#This Row],[Thema_Bezeichung]],EFs_Fuhrpark[],20,FALSE),"")</f>
        <v/>
      </c>
      <c r="AH114" s="15" t="str">
        <f>IFERROR(VLOOKUP(Fuhrpark[[#This Row],[Thema_Bezeichung]],EFs_Fuhrpark[],21,FALSE),"")</f>
        <v/>
      </c>
      <c r="AI114" s="15" t="str">
        <f>IFERROR(VLOOKUP(Fuhrpark[[#This Row],[Thema_Bezeichung]],EFs_Fuhrpark[],22,FALSE),"")</f>
        <v/>
      </c>
      <c r="AJ114" s="15" t="str">
        <f>IFERROR(VLOOKUP(Fuhrpark[[#This Row],[Thema_Bezeichung]],EFs_Fuhrpark[],23,FALSE),"")</f>
        <v/>
      </c>
      <c r="AK114" s="15" t="str">
        <f>IFERROR(VLOOKUP(Fuhrpark[[#This Row],[Thema_Bezeichung]],EFs_Fuhrpark[],24,FALSE),"")</f>
        <v/>
      </c>
      <c r="AL114" s="15" t="str">
        <f>IFERROR(Fuhrpark[[#This Row],[Wert 
(Zahl)]]*Fuhrpark[[#This Row],[EF Scope 1 CO2e
(kg CO2e/Einheit)]],"")</f>
        <v/>
      </c>
      <c r="AM114" s="15" t="str">
        <f>IFERROR(Fuhrpark[[#This Row],[Wert 
(Zahl)]]*Fuhrpark[[#This Row],[EF Scope 2 CO2e
(kg CO2e/Einheit)]],"")</f>
        <v/>
      </c>
      <c r="AN114" s="15" t="str">
        <f>IFERROR(Fuhrpark[[#This Row],[Wert 
(Zahl)]]*Fuhrpark[[#This Row],[EF Scope 3 CO2e
(kg CO2e/Einheit)]],"")</f>
        <v/>
      </c>
      <c r="AO114" s="15" t="str">
        <f>IFERROR(Fuhrpark[[#This Row],[Wert 
(Zahl)]]*Fuhrpark[[#This Row],[EF Scope 1 CO2 biogen
(kg CO2 /Einheit)]],"")</f>
        <v/>
      </c>
      <c r="AP114" s="15" t="str">
        <f>IFERROR(Fuhrpark[[#This Row],[Wert 
(Zahl)]]*Fuhrpark[[#This Row],[Scope 2 Emissionsfaktor market-based '[kg CO2e/Einheit']]],"")</f>
        <v/>
      </c>
      <c r="AQ114" s="15" t="str">
        <f>IFERROR(Fuhrpark[[#This Row],[Wert 
(Zahl)]]*Fuhrpark[[#This Row],[EF Scope 1 CO2
(kg CO2/Einheit)]],"")</f>
        <v/>
      </c>
      <c r="AR114" s="15" t="str">
        <f>IFERROR(Fuhrpark[[#This Row],[Wert 
(Zahl)]]*Fuhrpark[[#This Row],[EF Scope 1 CH4
(kg CH4/Einheit)]],"")</f>
        <v/>
      </c>
      <c r="AS114" s="15" t="str">
        <f>IFERROR(Fuhrpark[[#This Row],[Wert 
(Zahl)]]*Fuhrpark[[#This Row],[EF Scope 1 N2O
(kg N2O/Einheit)]],"")</f>
        <v/>
      </c>
      <c r="AT114" s="15" t="str">
        <f>IFERROR(Fuhrpark[[#This Row],[Wert 
(Zahl)]]*Fuhrpark[[#This Row],[EF Scope 1 HFCs
(kg HFCs/Einheit)]],"")</f>
        <v/>
      </c>
      <c r="AU114" s="15" t="str">
        <f>IFERROR(Fuhrpark[[#This Row],[Wert 
(Zahl)]]*Fuhrpark[[#This Row],[EF Scope 1 PFCs
(kg PFCs/Einheit)]],"")</f>
        <v/>
      </c>
      <c r="AV114" s="15" t="str">
        <f>IFERROR(Fuhrpark[[#This Row],[Wert 
(Zahl)]]*Fuhrpark[[#This Row],[EF Scope 1 SF6
(kg SF6/Einheit)]],"")</f>
        <v/>
      </c>
      <c r="AW114" s="15" t="str">
        <f>IFERROR(Fuhrpark[[#This Row],[Wert 
(Zahl)]]*Fuhrpark[[#This Row],[EF Scope 1 NF3
(kg NF3/Einheit)]],"")</f>
        <v/>
      </c>
      <c r="AX114" s="15" t="str">
        <f>IFERROR(Fuhrpark[[#This Row],[Wert 
(Zahl)]]*Fuhrpark[[#This Row],[EF Scope 1 Nicht-Kyoto-Gase (kg Nicht-Kyoto-Gase/Einheit)]],"")</f>
        <v/>
      </c>
      <c r="AY114" s="15" t="str">
        <f>IFERROR(Fuhrpark[[#This Row],[Wert 
(Zahl)]]*Fuhrpark[[#This Row],[EF Scope 2 CO2
(kg CO2/Einheit)]],"")</f>
        <v/>
      </c>
      <c r="AZ114" s="15" t="str">
        <f>IFERROR(Fuhrpark[[#This Row],[Wert 
(Zahl)]]*Fuhrpark[[#This Row],[EF Scope 2 CH4
(kg CH4/Einheit)]],"")</f>
        <v/>
      </c>
      <c r="BA114" s="15" t="str">
        <f>IFERROR(Fuhrpark[[#This Row],[Wert 
(Zahl)]]*Fuhrpark[[#This Row],[EF Scope 2 N2O
(kg N2O/Einheit)]],"")</f>
        <v/>
      </c>
      <c r="BB114" s="15" t="str">
        <f>IFERROR(Fuhrpark[[#This Row],[Wert 
(Zahl)]]*Fuhrpark[[#This Row],[EF Scope 2 HFCs
(kg HFCs/Einheit)]],"")</f>
        <v/>
      </c>
      <c r="BC114" s="15" t="str">
        <f>IFERROR(Fuhrpark[[#This Row],[Wert 
(Zahl)]]*Fuhrpark[[#This Row],[EF Scope 2 PFCs
(kg PFCs/Einheit)]],"")</f>
        <v/>
      </c>
      <c r="BD114" s="15" t="str">
        <f>IFERROR(Fuhrpark[[#This Row],[Wert 
(Zahl)]]*Fuhrpark[[#This Row],[EF Scope 2 SF6
(kg SF6/Einheit)]],"")</f>
        <v/>
      </c>
      <c r="BE114" s="15" t="str">
        <f>IFERROR(Fuhrpark[[#This Row],[Wert 
(Zahl)]]*Fuhrpark[[#This Row],[EF Scope 2 NF3
(kg NF3/Einheit)]],"")</f>
        <v/>
      </c>
      <c r="BF114" s="15" t="str">
        <f>IFERROR(Fuhrpark[[#This Row],[Wert 
(Zahl)]]*Fuhrpark[[#This Row],[EF Scope 2 Nicht-Kyoto-Gase (kg Nicht-Kyoto-Gase/Einheit)]],"")</f>
        <v/>
      </c>
      <c r="BG114" s="15" t="str">
        <f>IF(ISBLANK(Fuhrpark[[#This Row],[Wert 
(Zahl)]]),"",IFERROR(Fuhrpark[[#This Row],[Scope 1 CO2 '[kg CO2']]]*IFERROR(VLOOKUP("CO2",GWP_100[],3,FALSE),0),0))</f>
        <v/>
      </c>
      <c r="BH114" s="15" t="str">
        <f>IF(ISBLANK(Fuhrpark[[#This Row],[Wert 
(Zahl)]]),"",IFERROR(Fuhrpark[[#This Row],[Scope 1 CH4 '[kg CH4']]]*IFERROR(VLOOKUP("CH4",GWP_100[],4,FALSE),0),0))</f>
        <v/>
      </c>
      <c r="BI114" s="15" t="str">
        <f>IF(ISBLANK(Fuhrpark[[#This Row],[Wert 
(Zahl)]]),"",IFERROR(Fuhrpark[[#This Row],[Scope 1 N2O '[kg N2O']]]*IFERROR(VLOOKUP("N2O",GWP_100[],5,FALSE),0),0))</f>
        <v/>
      </c>
      <c r="BJ114" s="15" t="str">
        <f>IF(ISBLANK(Fuhrpark[[#This Row],[Wert 
(Zahl)]]),"",IFERROR(Fuhrpark[[#This Row],[Scope 1 HFCs '[kg HFCs']]]*IFERROR(VLOOKUP(Fuhrpark[[#This Row],[Emissionsquelle/Aktivität (Dropdown)]],GWP_100[],6,FALSE),0),0))</f>
        <v/>
      </c>
      <c r="BK114" s="15" t="str">
        <f>IF(ISBLANK(Fuhrpark[[#This Row],[Wert 
(Zahl)]]),"",IFERROR(Fuhrpark[[#This Row],[Scope 1 PFCs '[kg PFCs']]]*IFERROR(VLOOKUP(Fuhrpark[[#This Row],[Emissionsquelle/Aktivität (Dropdown)]],GWP_100[],7,FALSE),0),0))</f>
        <v/>
      </c>
      <c r="BL114" s="15" t="str">
        <f>IF(ISBLANK(Fuhrpark[[#This Row],[Wert 
(Zahl)]]),"",IFERROR(Fuhrpark[[#This Row],[Scope 1 SF6 '[kg SF6']]]*IFERROR(VLOOKUP("SF6",GWP_100[],8,FALSE),0),0))</f>
        <v/>
      </c>
      <c r="BM114" s="15" t="str">
        <f>IF(ISBLANK(Fuhrpark[[#This Row],[Wert 
(Zahl)]]),"",IFERROR(Fuhrpark[[#This Row],[Scope 1 NF3 '[kg NF3']]]*IFERROR(VLOOKUP("NF3",GWP_100[],9,FALSE),0),0))</f>
        <v/>
      </c>
      <c r="BN114" s="15" t="str">
        <f>IF(ISBLANK(Fuhrpark[[#This Row],[Wert 
(Zahl)]]),"",IFERROR(Fuhrpark[[#This Row],[Scope 1 non-Kyoto '[kg non-Kyoto gas']]]*IFERROR(VLOOKUP(Fuhrpark[[#This Row],[Emissionsquelle/Aktivität (Dropdown)]],GWP_100[],10,FALSE),0),0))</f>
        <v/>
      </c>
      <c r="BO114" s="15" t="str">
        <f>IF(ISBLANK(Fuhrpark[[#This Row],[Wert 
(Zahl)]]),"",IFERROR(Fuhrpark[[#This Row],[Scope 2 CO2 '[kg CO2']]]*IFERROR(VLOOKUP("CO2",GWP_100[],3,FALSE),0),0))</f>
        <v/>
      </c>
      <c r="BP114" s="15" t="str">
        <f>IF(ISBLANK(Fuhrpark[[#This Row],[Wert 
(Zahl)]]),"",IFERROR(Fuhrpark[[#This Row],[Scope 2 CH4 '[kg CH4']]]*IFERROR(VLOOKUP("CH4",GWP_100[],4,FALSE),0),0))</f>
        <v/>
      </c>
      <c r="BQ114" s="15" t="str">
        <f>IF(ISBLANK(Fuhrpark[[#This Row],[Wert 
(Zahl)]]),"",IFERROR(Fuhrpark[[#This Row],[Scope 2 N2O '[kg N2O']]]*IFERROR(VLOOKUP("N2O",GWP_100[],5,FALSE),0),0))</f>
        <v/>
      </c>
      <c r="BR114" s="15" t="str">
        <f>IF(ISBLANK(Fuhrpark[[#This Row],[Wert 
(Zahl)]]),"",IFERROR(Fuhrpark[[#This Row],[Scope 2 HFCs '[kg HFCs']]]*IFERROR(VLOOKUP(Fuhrpark[[#This Row],[Emissionsquelle/Aktivität (Dropdown)]],GWP_100[],6,FALSE),0),0))</f>
        <v/>
      </c>
      <c r="BS114" s="15" t="str">
        <f>IF(ISBLANK(Fuhrpark[[#This Row],[Wert 
(Zahl)]]),"",IFERROR(Fuhrpark[[#This Row],[Scope 2 PFCs '[kg PFCs']]]*IFERROR(VLOOKUP(Fuhrpark[[#This Row],[Emissionsquelle/Aktivität (Dropdown)]],GWP_100[],7,FALSE),0),0))</f>
        <v/>
      </c>
      <c r="BT114" s="15" t="str">
        <f>IF(ISBLANK(Fuhrpark[[#This Row],[Wert 
(Zahl)]]),"",IFERROR(Fuhrpark[[#This Row],[Scope 2 SF6 '[kg SF6']]]*IFERROR(VLOOKUP("SF6",GWP_100[],8,FALSE),0),0))</f>
        <v/>
      </c>
      <c r="BU114" s="15" t="str">
        <f>IF(ISBLANK(Fuhrpark[[#This Row],[Wert 
(Zahl)]]),"",IFERROR(Fuhrpark[[#This Row],[Scope 2 NF3 '[kg NF3']]]*IFERROR(VLOOKUP("NF3",GWP_100[],9,FALSE),0),0))</f>
        <v/>
      </c>
      <c r="BV114" s="15" t="str">
        <f>IF(ISBLANK(Fuhrpark[[#This Row],[Wert 
(Zahl)]]),"",IFERROR(Fuhrpark[[#This Row],[Scope 2 non-Kyoto '[kg non-Kyoto gas']]]*IFERROR(VLOOKUP(Fuhrpark[[#This Row],[Emissionsquelle/Aktivität (Dropdown)]],GWP_100[],10,FALSE),0),0))</f>
        <v/>
      </c>
    </row>
    <row r="115" spans="2:92" s="89" customFormat="1" x14ac:dyDescent="0.35">
      <c r="B115" s="604"/>
      <c r="C115" s="10" t="str">
        <f t="shared" si="3"/>
        <v>Fuhrpark</v>
      </c>
      <c r="D115" s="90"/>
      <c r="E115" s="90"/>
      <c r="F115" s="288"/>
      <c r="G115" s="10" t="str">
        <f>IFERROR(VLOOKUP(Fuhrpark[[#This Row],[Thema_Bezeichung]],EFs_Fuhrpark[],4,FALSE),"")</f>
        <v/>
      </c>
      <c r="H115" s="90"/>
      <c r="I115" s="90"/>
      <c r="J115" s="90"/>
      <c r="K115" s="90"/>
      <c r="L115" s="289" t="str">
        <f>IF(ISBLANK(Fuhrpark[[#This Row],[Wert 
(Zahl)]]),"", SUM(Fuhrpark[[#This Row],[Scope 1 CO2e '[kg CO2e']]:[Scope 3 CO2e '[kg CO2e']]]))</f>
        <v/>
      </c>
      <c r="M115" s="289" t="str">
        <f>IF(OR(ISBLANK(Fuhrpark[[#This Row],[Wert 
(Zahl)]]),Fuhrpark[[#This Row],[Emissionsquelle/Aktivität (Dropdown)]]&lt;&gt;"Strom (externes Laden, Deutschland)"),"", SUM(Fuhrpark[[#This Row],[Scope 1 CO2e '[kg CO2e']]],Fuhrpark[[#This Row],[Scope 2 CO2e market-based '[kg CO2e']]],Fuhrpark[[#This Row],[Scope 3 CO2e '[kg CO2e']]]))</f>
        <v/>
      </c>
      <c r="N115" s="408"/>
      <c r="O115" s="15" t="str">
        <f>IF(ISBLANK(Fuhrpark[[#This Row],[Emissionsquelle/Aktivität (Dropdown)]]),"",CONCATENATE(Fuhrpark[[#This Row],[Sektor_Thema]]," - ",Fuhrpark[[#This Row],[Emissionsquelle/Aktivität (Dropdown)]]))</f>
        <v/>
      </c>
      <c r="P115" s="15" t="str">
        <f>IF(ISBLANK(Fuhrpark[[#This Row],[Emissionsquelle/Aktivität (Dropdown)]]),"",AND(Fuhrpark[[#This Row],[Emissionsquelle/Aktivität (Dropdown)]]="Strom (externes laden, Deutschland)",ISNUMBER(Fuhrpark[[#This Row],[Scope-2-Emissionsfaktor Vertragsstrommix
'[g CO2e/kWh']
(falls verfügbar)]])))</f>
        <v/>
      </c>
      <c r="Q115" s="15" t="str">
        <f>IFERROR(VLOOKUP(Fuhrpark[[#This Row],[Thema_Bezeichung]],EFs_Fuhrpark[],5,FALSE),"")</f>
        <v/>
      </c>
      <c r="R115" s="15" t="str">
        <f>IFERROR(VLOOKUP(Fuhrpark[[#This Row],[Thema_Bezeichung]],EFs_Fuhrpark[],6,FALSE),"")</f>
        <v/>
      </c>
      <c r="S115" s="15" t="str">
        <f>IFERROR(VLOOKUP(Fuhrpark[[#This Row],[Thema_Bezeichung]],EFs_Fuhrpark[],7,FALSE),"")</f>
        <v/>
      </c>
      <c r="T115" s="15" t="str">
        <f>IFERROR(VLOOKUP(Fuhrpark[[#This Row],[Thema_Bezeichung]],EFs_Fuhrpark[],8,FALSE),"")</f>
        <v/>
      </c>
      <c r="U115" s="15" t="str">
        <f>IFERROR(VLOOKUP(Fuhrpark[[#This Row],[Thema_Bezeichung]],EFs_Fuhrpark[],9,FALSE),"")</f>
        <v/>
      </c>
      <c r="V115" s="15" t="str">
        <f>IFERROR(VLOOKUP(Fuhrpark[[#This Row],[Thema_Bezeichung]],EFs_Fuhrpark[],10,FALSE),"")</f>
        <v/>
      </c>
      <c r="W115" s="15" t="str">
        <f>IFERROR(VLOOKUP(Fuhrpark[[#This Row],[Thema_Bezeichung]],EFs_Fuhrpark[],11,FALSE),"")</f>
        <v/>
      </c>
      <c r="X115" s="15" t="str">
        <f>IFERROR(VLOOKUP(Fuhrpark[[#This Row],[Thema_Bezeichung]],EFs_Fuhrpark[],12,FALSE),"")</f>
        <v/>
      </c>
      <c r="Y115" s="15" t="str">
        <f>IFERROR(VLOOKUP(Fuhrpark[[#This Row],[Thema_Bezeichung]],EFs_Fuhrpark[],13,FALSE),"")</f>
        <v/>
      </c>
      <c r="Z115" s="15" t="str">
        <f>IFERROR(VLOOKUP(Fuhrpark[[#This Row],[Thema_Bezeichung]],EFs_Fuhrpark[],14,FALSE),"")</f>
        <v/>
      </c>
      <c r="AA115" s="15" t="str">
        <f>IFERROR(VLOOKUP(Fuhrpark[[#This Row],[Thema_Bezeichung]],EFs_Fuhrpark[],15,FALSE),"")</f>
        <v/>
      </c>
      <c r="AB115" s="15" t="str">
        <f>IF(Fuhrpark[[#This Row],[Vertragsstrommix angegegeben?]]=TRUE,Fuhrpark[[#This Row],[Scope-2-Emissionsfaktor Vertragsstrommix
'[g CO2e/kWh']
(falls verfügbar)]]/1000,IFERROR(VLOOKUP(Fuhrpark[[#This Row],[Thema_Bezeichung]],EFs_Fuhrpark[],15,FALSE),""))</f>
        <v/>
      </c>
      <c r="AC115" s="15" t="str">
        <f>IFERROR(VLOOKUP(Fuhrpark[[#This Row],[Thema_Bezeichung]],EFs_Fuhrpark[],16,FALSE),"")</f>
        <v/>
      </c>
      <c r="AD115" s="15" t="str">
        <f>IFERROR(VLOOKUP(Fuhrpark[[#This Row],[Thema_Bezeichung]],EFs_Fuhrpark[],17,FALSE),"")</f>
        <v/>
      </c>
      <c r="AE115" s="15" t="str">
        <f>IFERROR(VLOOKUP(Fuhrpark[[#This Row],[Thema_Bezeichung]],EFs_Fuhrpark[],18,FALSE),"")</f>
        <v/>
      </c>
      <c r="AF115" s="15" t="str">
        <f>IFERROR(VLOOKUP(Fuhrpark[[#This Row],[Thema_Bezeichung]],EFs_Fuhrpark[],19,FALSE),"")</f>
        <v/>
      </c>
      <c r="AG115" s="15" t="str">
        <f>IFERROR(VLOOKUP(Fuhrpark[[#This Row],[Thema_Bezeichung]],EFs_Fuhrpark[],20,FALSE),"")</f>
        <v/>
      </c>
      <c r="AH115" s="15" t="str">
        <f>IFERROR(VLOOKUP(Fuhrpark[[#This Row],[Thema_Bezeichung]],EFs_Fuhrpark[],21,FALSE),"")</f>
        <v/>
      </c>
      <c r="AI115" s="15" t="str">
        <f>IFERROR(VLOOKUP(Fuhrpark[[#This Row],[Thema_Bezeichung]],EFs_Fuhrpark[],22,FALSE),"")</f>
        <v/>
      </c>
      <c r="AJ115" s="15" t="str">
        <f>IFERROR(VLOOKUP(Fuhrpark[[#This Row],[Thema_Bezeichung]],EFs_Fuhrpark[],23,FALSE),"")</f>
        <v/>
      </c>
      <c r="AK115" s="15" t="str">
        <f>IFERROR(VLOOKUP(Fuhrpark[[#This Row],[Thema_Bezeichung]],EFs_Fuhrpark[],24,FALSE),"")</f>
        <v/>
      </c>
      <c r="AL115" s="15" t="str">
        <f>IFERROR(Fuhrpark[[#This Row],[Wert 
(Zahl)]]*Fuhrpark[[#This Row],[EF Scope 1 CO2e
(kg CO2e/Einheit)]],"")</f>
        <v/>
      </c>
      <c r="AM115" s="15" t="str">
        <f>IFERROR(Fuhrpark[[#This Row],[Wert 
(Zahl)]]*Fuhrpark[[#This Row],[EF Scope 2 CO2e
(kg CO2e/Einheit)]],"")</f>
        <v/>
      </c>
      <c r="AN115" s="15" t="str">
        <f>IFERROR(Fuhrpark[[#This Row],[Wert 
(Zahl)]]*Fuhrpark[[#This Row],[EF Scope 3 CO2e
(kg CO2e/Einheit)]],"")</f>
        <v/>
      </c>
      <c r="AO115" s="15" t="str">
        <f>IFERROR(Fuhrpark[[#This Row],[Wert 
(Zahl)]]*Fuhrpark[[#This Row],[EF Scope 1 CO2 biogen
(kg CO2 /Einheit)]],"")</f>
        <v/>
      </c>
      <c r="AP115" s="15" t="str">
        <f>IFERROR(Fuhrpark[[#This Row],[Wert 
(Zahl)]]*Fuhrpark[[#This Row],[Scope 2 Emissionsfaktor market-based '[kg CO2e/Einheit']]],"")</f>
        <v/>
      </c>
      <c r="AQ115" s="15" t="str">
        <f>IFERROR(Fuhrpark[[#This Row],[Wert 
(Zahl)]]*Fuhrpark[[#This Row],[EF Scope 1 CO2
(kg CO2/Einheit)]],"")</f>
        <v/>
      </c>
      <c r="AR115" s="15" t="str">
        <f>IFERROR(Fuhrpark[[#This Row],[Wert 
(Zahl)]]*Fuhrpark[[#This Row],[EF Scope 1 CH4
(kg CH4/Einheit)]],"")</f>
        <v/>
      </c>
      <c r="AS115" s="15" t="str">
        <f>IFERROR(Fuhrpark[[#This Row],[Wert 
(Zahl)]]*Fuhrpark[[#This Row],[EF Scope 1 N2O
(kg N2O/Einheit)]],"")</f>
        <v/>
      </c>
      <c r="AT115" s="15" t="str">
        <f>IFERROR(Fuhrpark[[#This Row],[Wert 
(Zahl)]]*Fuhrpark[[#This Row],[EF Scope 1 HFCs
(kg HFCs/Einheit)]],"")</f>
        <v/>
      </c>
      <c r="AU115" s="15" t="str">
        <f>IFERROR(Fuhrpark[[#This Row],[Wert 
(Zahl)]]*Fuhrpark[[#This Row],[EF Scope 1 PFCs
(kg PFCs/Einheit)]],"")</f>
        <v/>
      </c>
      <c r="AV115" s="15" t="str">
        <f>IFERROR(Fuhrpark[[#This Row],[Wert 
(Zahl)]]*Fuhrpark[[#This Row],[EF Scope 1 SF6
(kg SF6/Einheit)]],"")</f>
        <v/>
      </c>
      <c r="AW115" s="15" t="str">
        <f>IFERROR(Fuhrpark[[#This Row],[Wert 
(Zahl)]]*Fuhrpark[[#This Row],[EF Scope 1 NF3
(kg NF3/Einheit)]],"")</f>
        <v/>
      </c>
      <c r="AX115" s="15" t="str">
        <f>IFERROR(Fuhrpark[[#This Row],[Wert 
(Zahl)]]*Fuhrpark[[#This Row],[EF Scope 1 Nicht-Kyoto-Gase (kg Nicht-Kyoto-Gase/Einheit)]],"")</f>
        <v/>
      </c>
      <c r="AY115" s="15" t="str">
        <f>IFERROR(Fuhrpark[[#This Row],[Wert 
(Zahl)]]*Fuhrpark[[#This Row],[EF Scope 2 CO2
(kg CO2/Einheit)]],"")</f>
        <v/>
      </c>
      <c r="AZ115" s="15" t="str">
        <f>IFERROR(Fuhrpark[[#This Row],[Wert 
(Zahl)]]*Fuhrpark[[#This Row],[EF Scope 2 CH4
(kg CH4/Einheit)]],"")</f>
        <v/>
      </c>
      <c r="BA115" s="15" t="str">
        <f>IFERROR(Fuhrpark[[#This Row],[Wert 
(Zahl)]]*Fuhrpark[[#This Row],[EF Scope 2 N2O
(kg N2O/Einheit)]],"")</f>
        <v/>
      </c>
      <c r="BB115" s="15" t="str">
        <f>IFERROR(Fuhrpark[[#This Row],[Wert 
(Zahl)]]*Fuhrpark[[#This Row],[EF Scope 2 HFCs
(kg HFCs/Einheit)]],"")</f>
        <v/>
      </c>
      <c r="BC115" s="15" t="str">
        <f>IFERROR(Fuhrpark[[#This Row],[Wert 
(Zahl)]]*Fuhrpark[[#This Row],[EF Scope 2 PFCs
(kg PFCs/Einheit)]],"")</f>
        <v/>
      </c>
      <c r="BD115" s="15" t="str">
        <f>IFERROR(Fuhrpark[[#This Row],[Wert 
(Zahl)]]*Fuhrpark[[#This Row],[EF Scope 2 SF6
(kg SF6/Einheit)]],"")</f>
        <v/>
      </c>
      <c r="BE115" s="15" t="str">
        <f>IFERROR(Fuhrpark[[#This Row],[Wert 
(Zahl)]]*Fuhrpark[[#This Row],[EF Scope 2 NF3
(kg NF3/Einheit)]],"")</f>
        <v/>
      </c>
      <c r="BF115" s="15" t="str">
        <f>IFERROR(Fuhrpark[[#This Row],[Wert 
(Zahl)]]*Fuhrpark[[#This Row],[EF Scope 2 Nicht-Kyoto-Gase (kg Nicht-Kyoto-Gase/Einheit)]],"")</f>
        <v/>
      </c>
      <c r="BG115" s="15" t="str">
        <f>IF(ISBLANK(Fuhrpark[[#This Row],[Wert 
(Zahl)]]),"",IFERROR(Fuhrpark[[#This Row],[Scope 1 CO2 '[kg CO2']]]*IFERROR(VLOOKUP("CO2",GWP_100[],3,FALSE),0),0))</f>
        <v/>
      </c>
      <c r="BH115" s="15" t="str">
        <f>IF(ISBLANK(Fuhrpark[[#This Row],[Wert 
(Zahl)]]),"",IFERROR(Fuhrpark[[#This Row],[Scope 1 CH4 '[kg CH4']]]*IFERROR(VLOOKUP("CH4",GWP_100[],4,FALSE),0),0))</f>
        <v/>
      </c>
      <c r="BI115" s="15" t="str">
        <f>IF(ISBLANK(Fuhrpark[[#This Row],[Wert 
(Zahl)]]),"",IFERROR(Fuhrpark[[#This Row],[Scope 1 N2O '[kg N2O']]]*IFERROR(VLOOKUP("N2O",GWP_100[],5,FALSE),0),0))</f>
        <v/>
      </c>
      <c r="BJ115" s="15" t="str">
        <f>IF(ISBLANK(Fuhrpark[[#This Row],[Wert 
(Zahl)]]),"",IFERROR(Fuhrpark[[#This Row],[Scope 1 HFCs '[kg HFCs']]]*IFERROR(VLOOKUP(Fuhrpark[[#This Row],[Emissionsquelle/Aktivität (Dropdown)]],GWP_100[],6,FALSE),0),0))</f>
        <v/>
      </c>
      <c r="BK115" s="15" t="str">
        <f>IF(ISBLANK(Fuhrpark[[#This Row],[Wert 
(Zahl)]]),"",IFERROR(Fuhrpark[[#This Row],[Scope 1 PFCs '[kg PFCs']]]*IFERROR(VLOOKUP(Fuhrpark[[#This Row],[Emissionsquelle/Aktivität (Dropdown)]],GWP_100[],7,FALSE),0),0))</f>
        <v/>
      </c>
      <c r="BL115" s="15" t="str">
        <f>IF(ISBLANK(Fuhrpark[[#This Row],[Wert 
(Zahl)]]),"",IFERROR(Fuhrpark[[#This Row],[Scope 1 SF6 '[kg SF6']]]*IFERROR(VLOOKUP("SF6",GWP_100[],8,FALSE),0),0))</f>
        <v/>
      </c>
      <c r="BM115" s="15" t="str">
        <f>IF(ISBLANK(Fuhrpark[[#This Row],[Wert 
(Zahl)]]),"",IFERROR(Fuhrpark[[#This Row],[Scope 1 NF3 '[kg NF3']]]*IFERROR(VLOOKUP("NF3",GWP_100[],9,FALSE),0),0))</f>
        <v/>
      </c>
      <c r="BN115" s="15" t="str">
        <f>IF(ISBLANK(Fuhrpark[[#This Row],[Wert 
(Zahl)]]),"",IFERROR(Fuhrpark[[#This Row],[Scope 1 non-Kyoto '[kg non-Kyoto gas']]]*IFERROR(VLOOKUP(Fuhrpark[[#This Row],[Emissionsquelle/Aktivität (Dropdown)]],GWP_100[],10,FALSE),0),0))</f>
        <v/>
      </c>
      <c r="BO115" s="15" t="str">
        <f>IF(ISBLANK(Fuhrpark[[#This Row],[Wert 
(Zahl)]]),"",IFERROR(Fuhrpark[[#This Row],[Scope 2 CO2 '[kg CO2']]]*IFERROR(VLOOKUP("CO2",GWP_100[],3,FALSE),0),0))</f>
        <v/>
      </c>
      <c r="BP115" s="15" t="str">
        <f>IF(ISBLANK(Fuhrpark[[#This Row],[Wert 
(Zahl)]]),"",IFERROR(Fuhrpark[[#This Row],[Scope 2 CH4 '[kg CH4']]]*IFERROR(VLOOKUP("CH4",GWP_100[],4,FALSE),0),0))</f>
        <v/>
      </c>
      <c r="BQ115" s="15" t="str">
        <f>IF(ISBLANK(Fuhrpark[[#This Row],[Wert 
(Zahl)]]),"",IFERROR(Fuhrpark[[#This Row],[Scope 2 N2O '[kg N2O']]]*IFERROR(VLOOKUP("N2O",GWP_100[],5,FALSE),0),0))</f>
        <v/>
      </c>
      <c r="BR115" s="15" t="str">
        <f>IF(ISBLANK(Fuhrpark[[#This Row],[Wert 
(Zahl)]]),"",IFERROR(Fuhrpark[[#This Row],[Scope 2 HFCs '[kg HFCs']]]*IFERROR(VLOOKUP(Fuhrpark[[#This Row],[Emissionsquelle/Aktivität (Dropdown)]],GWP_100[],6,FALSE),0),0))</f>
        <v/>
      </c>
      <c r="BS115" s="15" t="str">
        <f>IF(ISBLANK(Fuhrpark[[#This Row],[Wert 
(Zahl)]]),"",IFERROR(Fuhrpark[[#This Row],[Scope 2 PFCs '[kg PFCs']]]*IFERROR(VLOOKUP(Fuhrpark[[#This Row],[Emissionsquelle/Aktivität (Dropdown)]],GWP_100[],7,FALSE),0),0))</f>
        <v/>
      </c>
      <c r="BT115" s="15" t="str">
        <f>IF(ISBLANK(Fuhrpark[[#This Row],[Wert 
(Zahl)]]),"",IFERROR(Fuhrpark[[#This Row],[Scope 2 SF6 '[kg SF6']]]*IFERROR(VLOOKUP("SF6",GWP_100[],8,FALSE),0),0))</f>
        <v/>
      </c>
      <c r="BU115" s="15" t="str">
        <f>IF(ISBLANK(Fuhrpark[[#This Row],[Wert 
(Zahl)]]),"",IFERROR(Fuhrpark[[#This Row],[Scope 2 NF3 '[kg NF3']]]*IFERROR(VLOOKUP("NF3",GWP_100[],9,FALSE),0),0))</f>
        <v/>
      </c>
      <c r="BV115" s="15" t="str">
        <f>IF(ISBLANK(Fuhrpark[[#This Row],[Wert 
(Zahl)]]),"",IFERROR(Fuhrpark[[#This Row],[Scope 2 non-Kyoto '[kg non-Kyoto gas']]]*IFERROR(VLOOKUP(Fuhrpark[[#This Row],[Emissionsquelle/Aktivität (Dropdown)]],GWP_100[],10,FALSE),0),0))</f>
        <v/>
      </c>
    </row>
    <row r="116" spans="2:92" s="89" customFormat="1" x14ac:dyDescent="0.35">
      <c r="B116" s="604"/>
      <c r="C116" s="10" t="str">
        <f t="shared" si="3"/>
        <v>Fuhrpark</v>
      </c>
      <c r="D116" s="90"/>
      <c r="E116" s="90"/>
      <c r="F116" s="288"/>
      <c r="G116" s="10" t="str">
        <f>IFERROR(VLOOKUP(Fuhrpark[[#This Row],[Thema_Bezeichung]],EFs_Fuhrpark[],4,FALSE),"")</f>
        <v/>
      </c>
      <c r="H116" s="90"/>
      <c r="I116" s="90"/>
      <c r="J116" s="90"/>
      <c r="K116" s="90"/>
      <c r="L116" s="289" t="str">
        <f>IF(ISBLANK(Fuhrpark[[#This Row],[Wert 
(Zahl)]]),"", SUM(Fuhrpark[[#This Row],[Scope 1 CO2e '[kg CO2e']]:[Scope 3 CO2e '[kg CO2e']]]))</f>
        <v/>
      </c>
      <c r="M116" s="289" t="str">
        <f>IF(OR(ISBLANK(Fuhrpark[[#This Row],[Wert 
(Zahl)]]),Fuhrpark[[#This Row],[Emissionsquelle/Aktivität (Dropdown)]]&lt;&gt;"Strom (externes Laden, Deutschland)"),"", SUM(Fuhrpark[[#This Row],[Scope 1 CO2e '[kg CO2e']]],Fuhrpark[[#This Row],[Scope 2 CO2e market-based '[kg CO2e']]],Fuhrpark[[#This Row],[Scope 3 CO2e '[kg CO2e']]]))</f>
        <v/>
      </c>
      <c r="N116" s="408"/>
      <c r="O116" s="15" t="str">
        <f>IF(ISBLANK(Fuhrpark[[#This Row],[Emissionsquelle/Aktivität (Dropdown)]]),"",CONCATENATE(Fuhrpark[[#This Row],[Sektor_Thema]]," - ",Fuhrpark[[#This Row],[Emissionsquelle/Aktivität (Dropdown)]]))</f>
        <v/>
      </c>
      <c r="P116" s="15" t="str">
        <f>IF(ISBLANK(Fuhrpark[[#This Row],[Emissionsquelle/Aktivität (Dropdown)]]),"",AND(Fuhrpark[[#This Row],[Emissionsquelle/Aktivität (Dropdown)]]="Strom (externes laden, Deutschland)",ISNUMBER(Fuhrpark[[#This Row],[Scope-2-Emissionsfaktor Vertragsstrommix
'[g CO2e/kWh']
(falls verfügbar)]])))</f>
        <v/>
      </c>
      <c r="Q116" s="15" t="str">
        <f>IFERROR(VLOOKUP(Fuhrpark[[#This Row],[Thema_Bezeichung]],EFs_Fuhrpark[],5,FALSE),"")</f>
        <v/>
      </c>
      <c r="R116" s="15" t="str">
        <f>IFERROR(VLOOKUP(Fuhrpark[[#This Row],[Thema_Bezeichung]],EFs_Fuhrpark[],6,FALSE),"")</f>
        <v/>
      </c>
      <c r="S116" s="15" t="str">
        <f>IFERROR(VLOOKUP(Fuhrpark[[#This Row],[Thema_Bezeichung]],EFs_Fuhrpark[],7,FALSE),"")</f>
        <v/>
      </c>
      <c r="T116" s="15" t="str">
        <f>IFERROR(VLOOKUP(Fuhrpark[[#This Row],[Thema_Bezeichung]],EFs_Fuhrpark[],8,FALSE),"")</f>
        <v/>
      </c>
      <c r="U116" s="15" t="str">
        <f>IFERROR(VLOOKUP(Fuhrpark[[#This Row],[Thema_Bezeichung]],EFs_Fuhrpark[],9,FALSE),"")</f>
        <v/>
      </c>
      <c r="V116" s="15" t="str">
        <f>IFERROR(VLOOKUP(Fuhrpark[[#This Row],[Thema_Bezeichung]],EFs_Fuhrpark[],10,FALSE),"")</f>
        <v/>
      </c>
      <c r="W116" s="15" t="str">
        <f>IFERROR(VLOOKUP(Fuhrpark[[#This Row],[Thema_Bezeichung]],EFs_Fuhrpark[],11,FALSE),"")</f>
        <v/>
      </c>
      <c r="X116" s="15" t="str">
        <f>IFERROR(VLOOKUP(Fuhrpark[[#This Row],[Thema_Bezeichung]],EFs_Fuhrpark[],12,FALSE),"")</f>
        <v/>
      </c>
      <c r="Y116" s="15" t="str">
        <f>IFERROR(VLOOKUP(Fuhrpark[[#This Row],[Thema_Bezeichung]],EFs_Fuhrpark[],13,FALSE),"")</f>
        <v/>
      </c>
      <c r="Z116" s="15" t="str">
        <f>IFERROR(VLOOKUP(Fuhrpark[[#This Row],[Thema_Bezeichung]],EFs_Fuhrpark[],14,FALSE),"")</f>
        <v/>
      </c>
      <c r="AA116" s="15" t="str">
        <f>IFERROR(VLOOKUP(Fuhrpark[[#This Row],[Thema_Bezeichung]],EFs_Fuhrpark[],15,FALSE),"")</f>
        <v/>
      </c>
      <c r="AB116" s="15" t="str">
        <f>IF(Fuhrpark[[#This Row],[Vertragsstrommix angegegeben?]]=TRUE,Fuhrpark[[#This Row],[Scope-2-Emissionsfaktor Vertragsstrommix
'[g CO2e/kWh']
(falls verfügbar)]]/1000,IFERROR(VLOOKUP(Fuhrpark[[#This Row],[Thema_Bezeichung]],EFs_Fuhrpark[],15,FALSE),""))</f>
        <v/>
      </c>
      <c r="AC116" s="15" t="str">
        <f>IFERROR(VLOOKUP(Fuhrpark[[#This Row],[Thema_Bezeichung]],EFs_Fuhrpark[],16,FALSE),"")</f>
        <v/>
      </c>
      <c r="AD116" s="15" t="str">
        <f>IFERROR(VLOOKUP(Fuhrpark[[#This Row],[Thema_Bezeichung]],EFs_Fuhrpark[],17,FALSE),"")</f>
        <v/>
      </c>
      <c r="AE116" s="15" t="str">
        <f>IFERROR(VLOOKUP(Fuhrpark[[#This Row],[Thema_Bezeichung]],EFs_Fuhrpark[],18,FALSE),"")</f>
        <v/>
      </c>
      <c r="AF116" s="15" t="str">
        <f>IFERROR(VLOOKUP(Fuhrpark[[#This Row],[Thema_Bezeichung]],EFs_Fuhrpark[],19,FALSE),"")</f>
        <v/>
      </c>
      <c r="AG116" s="15" t="str">
        <f>IFERROR(VLOOKUP(Fuhrpark[[#This Row],[Thema_Bezeichung]],EFs_Fuhrpark[],20,FALSE),"")</f>
        <v/>
      </c>
      <c r="AH116" s="15" t="str">
        <f>IFERROR(VLOOKUP(Fuhrpark[[#This Row],[Thema_Bezeichung]],EFs_Fuhrpark[],21,FALSE),"")</f>
        <v/>
      </c>
      <c r="AI116" s="15" t="str">
        <f>IFERROR(VLOOKUP(Fuhrpark[[#This Row],[Thema_Bezeichung]],EFs_Fuhrpark[],22,FALSE),"")</f>
        <v/>
      </c>
      <c r="AJ116" s="15" t="str">
        <f>IFERROR(VLOOKUP(Fuhrpark[[#This Row],[Thema_Bezeichung]],EFs_Fuhrpark[],23,FALSE),"")</f>
        <v/>
      </c>
      <c r="AK116" s="15" t="str">
        <f>IFERROR(VLOOKUP(Fuhrpark[[#This Row],[Thema_Bezeichung]],EFs_Fuhrpark[],24,FALSE),"")</f>
        <v/>
      </c>
      <c r="AL116" s="15" t="str">
        <f>IFERROR(Fuhrpark[[#This Row],[Wert 
(Zahl)]]*Fuhrpark[[#This Row],[EF Scope 1 CO2e
(kg CO2e/Einheit)]],"")</f>
        <v/>
      </c>
      <c r="AM116" s="15" t="str">
        <f>IFERROR(Fuhrpark[[#This Row],[Wert 
(Zahl)]]*Fuhrpark[[#This Row],[EF Scope 2 CO2e
(kg CO2e/Einheit)]],"")</f>
        <v/>
      </c>
      <c r="AN116" s="15" t="str">
        <f>IFERROR(Fuhrpark[[#This Row],[Wert 
(Zahl)]]*Fuhrpark[[#This Row],[EF Scope 3 CO2e
(kg CO2e/Einheit)]],"")</f>
        <v/>
      </c>
      <c r="AO116" s="15" t="str">
        <f>IFERROR(Fuhrpark[[#This Row],[Wert 
(Zahl)]]*Fuhrpark[[#This Row],[EF Scope 1 CO2 biogen
(kg CO2 /Einheit)]],"")</f>
        <v/>
      </c>
      <c r="AP116" s="15" t="str">
        <f>IFERROR(Fuhrpark[[#This Row],[Wert 
(Zahl)]]*Fuhrpark[[#This Row],[Scope 2 Emissionsfaktor market-based '[kg CO2e/Einheit']]],"")</f>
        <v/>
      </c>
      <c r="AQ116" s="15" t="str">
        <f>IFERROR(Fuhrpark[[#This Row],[Wert 
(Zahl)]]*Fuhrpark[[#This Row],[EF Scope 1 CO2
(kg CO2/Einheit)]],"")</f>
        <v/>
      </c>
      <c r="AR116" s="15" t="str">
        <f>IFERROR(Fuhrpark[[#This Row],[Wert 
(Zahl)]]*Fuhrpark[[#This Row],[EF Scope 1 CH4
(kg CH4/Einheit)]],"")</f>
        <v/>
      </c>
      <c r="AS116" s="15" t="str">
        <f>IFERROR(Fuhrpark[[#This Row],[Wert 
(Zahl)]]*Fuhrpark[[#This Row],[EF Scope 1 N2O
(kg N2O/Einheit)]],"")</f>
        <v/>
      </c>
      <c r="AT116" s="15" t="str">
        <f>IFERROR(Fuhrpark[[#This Row],[Wert 
(Zahl)]]*Fuhrpark[[#This Row],[EF Scope 1 HFCs
(kg HFCs/Einheit)]],"")</f>
        <v/>
      </c>
      <c r="AU116" s="15" t="str">
        <f>IFERROR(Fuhrpark[[#This Row],[Wert 
(Zahl)]]*Fuhrpark[[#This Row],[EF Scope 1 PFCs
(kg PFCs/Einheit)]],"")</f>
        <v/>
      </c>
      <c r="AV116" s="15" t="str">
        <f>IFERROR(Fuhrpark[[#This Row],[Wert 
(Zahl)]]*Fuhrpark[[#This Row],[EF Scope 1 SF6
(kg SF6/Einheit)]],"")</f>
        <v/>
      </c>
      <c r="AW116" s="15" t="str">
        <f>IFERROR(Fuhrpark[[#This Row],[Wert 
(Zahl)]]*Fuhrpark[[#This Row],[EF Scope 1 NF3
(kg NF3/Einheit)]],"")</f>
        <v/>
      </c>
      <c r="AX116" s="15" t="str">
        <f>IFERROR(Fuhrpark[[#This Row],[Wert 
(Zahl)]]*Fuhrpark[[#This Row],[EF Scope 1 Nicht-Kyoto-Gase (kg Nicht-Kyoto-Gase/Einheit)]],"")</f>
        <v/>
      </c>
      <c r="AY116" s="15" t="str">
        <f>IFERROR(Fuhrpark[[#This Row],[Wert 
(Zahl)]]*Fuhrpark[[#This Row],[EF Scope 2 CO2
(kg CO2/Einheit)]],"")</f>
        <v/>
      </c>
      <c r="AZ116" s="15" t="str">
        <f>IFERROR(Fuhrpark[[#This Row],[Wert 
(Zahl)]]*Fuhrpark[[#This Row],[EF Scope 2 CH4
(kg CH4/Einheit)]],"")</f>
        <v/>
      </c>
      <c r="BA116" s="15" t="str">
        <f>IFERROR(Fuhrpark[[#This Row],[Wert 
(Zahl)]]*Fuhrpark[[#This Row],[EF Scope 2 N2O
(kg N2O/Einheit)]],"")</f>
        <v/>
      </c>
      <c r="BB116" s="15" t="str">
        <f>IFERROR(Fuhrpark[[#This Row],[Wert 
(Zahl)]]*Fuhrpark[[#This Row],[EF Scope 2 HFCs
(kg HFCs/Einheit)]],"")</f>
        <v/>
      </c>
      <c r="BC116" s="15" t="str">
        <f>IFERROR(Fuhrpark[[#This Row],[Wert 
(Zahl)]]*Fuhrpark[[#This Row],[EF Scope 2 PFCs
(kg PFCs/Einheit)]],"")</f>
        <v/>
      </c>
      <c r="BD116" s="15" t="str">
        <f>IFERROR(Fuhrpark[[#This Row],[Wert 
(Zahl)]]*Fuhrpark[[#This Row],[EF Scope 2 SF6
(kg SF6/Einheit)]],"")</f>
        <v/>
      </c>
      <c r="BE116" s="15" t="str">
        <f>IFERROR(Fuhrpark[[#This Row],[Wert 
(Zahl)]]*Fuhrpark[[#This Row],[EF Scope 2 NF3
(kg NF3/Einheit)]],"")</f>
        <v/>
      </c>
      <c r="BF116" s="15" t="str">
        <f>IFERROR(Fuhrpark[[#This Row],[Wert 
(Zahl)]]*Fuhrpark[[#This Row],[EF Scope 2 Nicht-Kyoto-Gase (kg Nicht-Kyoto-Gase/Einheit)]],"")</f>
        <v/>
      </c>
      <c r="BG116" s="15" t="str">
        <f>IF(ISBLANK(Fuhrpark[[#This Row],[Wert 
(Zahl)]]),"",IFERROR(Fuhrpark[[#This Row],[Scope 1 CO2 '[kg CO2']]]*IFERROR(VLOOKUP("CO2",GWP_100[],3,FALSE),0),0))</f>
        <v/>
      </c>
      <c r="BH116" s="15" t="str">
        <f>IF(ISBLANK(Fuhrpark[[#This Row],[Wert 
(Zahl)]]),"",IFERROR(Fuhrpark[[#This Row],[Scope 1 CH4 '[kg CH4']]]*IFERROR(VLOOKUP("CH4",GWP_100[],4,FALSE),0),0))</f>
        <v/>
      </c>
      <c r="BI116" s="15" t="str">
        <f>IF(ISBLANK(Fuhrpark[[#This Row],[Wert 
(Zahl)]]),"",IFERROR(Fuhrpark[[#This Row],[Scope 1 N2O '[kg N2O']]]*IFERROR(VLOOKUP("N2O",GWP_100[],5,FALSE),0),0))</f>
        <v/>
      </c>
      <c r="BJ116" s="15" t="str">
        <f>IF(ISBLANK(Fuhrpark[[#This Row],[Wert 
(Zahl)]]),"",IFERROR(Fuhrpark[[#This Row],[Scope 1 HFCs '[kg HFCs']]]*IFERROR(VLOOKUP(Fuhrpark[[#This Row],[Emissionsquelle/Aktivität (Dropdown)]],GWP_100[],6,FALSE),0),0))</f>
        <v/>
      </c>
      <c r="BK116" s="15" t="str">
        <f>IF(ISBLANK(Fuhrpark[[#This Row],[Wert 
(Zahl)]]),"",IFERROR(Fuhrpark[[#This Row],[Scope 1 PFCs '[kg PFCs']]]*IFERROR(VLOOKUP(Fuhrpark[[#This Row],[Emissionsquelle/Aktivität (Dropdown)]],GWP_100[],7,FALSE),0),0))</f>
        <v/>
      </c>
      <c r="BL116" s="15" t="str">
        <f>IF(ISBLANK(Fuhrpark[[#This Row],[Wert 
(Zahl)]]),"",IFERROR(Fuhrpark[[#This Row],[Scope 1 SF6 '[kg SF6']]]*IFERROR(VLOOKUP("SF6",GWP_100[],8,FALSE),0),0))</f>
        <v/>
      </c>
      <c r="BM116" s="15" t="str">
        <f>IF(ISBLANK(Fuhrpark[[#This Row],[Wert 
(Zahl)]]),"",IFERROR(Fuhrpark[[#This Row],[Scope 1 NF3 '[kg NF3']]]*IFERROR(VLOOKUP("NF3",GWP_100[],9,FALSE),0),0))</f>
        <v/>
      </c>
      <c r="BN116" s="15" t="str">
        <f>IF(ISBLANK(Fuhrpark[[#This Row],[Wert 
(Zahl)]]),"",IFERROR(Fuhrpark[[#This Row],[Scope 1 non-Kyoto '[kg non-Kyoto gas']]]*IFERROR(VLOOKUP(Fuhrpark[[#This Row],[Emissionsquelle/Aktivität (Dropdown)]],GWP_100[],10,FALSE),0),0))</f>
        <v/>
      </c>
      <c r="BO116" s="15" t="str">
        <f>IF(ISBLANK(Fuhrpark[[#This Row],[Wert 
(Zahl)]]),"",IFERROR(Fuhrpark[[#This Row],[Scope 2 CO2 '[kg CO2']]]*IFERROR(VLOOKUP("CO2",GWP_100[],3,FALSE),0),0))</f>
        <v/>
      </c>
      <c r="BP116" s="15" t="str">
        <f>IF(ISBLANK(Fuhrpark[[#This Row],[Wert 
(Zahl)]]),"",IFERROR(Fuhrpark[[#This Row],[Scope 2 CH4 '[kg CH4']]]*IFERROR(VLOOKUP("CH4",GWP_100[],4,FALSE),0),0))</f>
        <v/>
      </c>
      <c r="BQ116" s="15" t="str">
        <f>IF(ISBLANK(Fuhrpark[[#This Row],[Wert 
(Zahl)]]),"",IFERROR(Fuhrpark[[#This Row],[Scope 2 N2O '[kg N2O']]]*IFERROR(VLOOKUP("N2O",GWP_100[],5,FALSE),0),0))</f>
        <v/>
      </c>
      <c r="BR116" s="15" t="str">
        <f>IF(ISBLANK(Fuhrpark[[#This Row],[Wert 
(Zahl)]]),"",IFERROR(Fuhrpark[[#This Row],[Scope 2 HFCs '[kg HFCs']]]*IFERROR(VLOOKUP(Fuhrpark[[#This Row],[Emissionsquelle/Aktivität (Dropdown)]],GWP_100[],6,FALSE),0),0))</f>
        <v/>
      </c>
      <c r="BS116" s="15" t="str">
        <f>IF(ISBLANK(Fuhrpark[[#This Row],[Wert 
(Zahl)]]),"",IFERROR(Fuhrpark[[#This Row],[Scope 2 PFCs '[kg PFCs']]]*IFERROR(VLOOKUP(Fuhrpark[[#This Row],[Emissionsquelle/Aktivität (Dropdown)]],GWP_100[],7,FALSE),0),0))</f>
        <v/>
      </c>
      <c r="BT116" s="15" t="str">
        <f>IF(ISBLANK(Fuhrpark[[#This Row],[Wert 
(Zahl)]]),"",IFERROR(Fuhrpark[[#This Row],[Scope 2 SF6 '[kg SF6']]]*IFERROR(VLOOKUP("SF6",GWP_100[],8,FALSE),0),0))</f>
        <v/>
      </c>
      <c r="BU116" s="15" t="str">
        <f>IF(ISBLANK(Fuhrpark[[#This Row],[Wert 
(Zahl)]]),"",IFERROR(Fuhrpark[[#This Row],[Scope 2 NF3 '[kg NF3']]]*IFERROR(VLOOKUP("NF3",GWP_100[],9,FALSE),0),0))</f>
        <v/>
      </c>
      <c r="BV116" s="15" t="str">
        <f>IF(ISBLANK(Fuhrpark[[#This Row],[Wert 
(Zahl)]]),"",IFERROR(Fuhrpark[[#This Row],[Scope 2 non-Kyoto '[kg non-Kyoto gas']]]*IFERROR(VLOOKUP(Fuhrpark[[#This Row],[Emissionsquelle/Aktivität (Dropdown)]],GWP_100[],10,FALSE),0),0))</f>
        <v/>
      </c>
    </row>
    <row r="117" spans="2:92" s="89" customFormat="1" x14ac:dyDescent="0.35">
      <c r="B117" s="604"/>
      <c r="C117" s="10" t="str">
        <f t="shared" si="3"/>
        <v>Fuhrpark</v>
      </c>
      <c r="D117" s="90"/>
      <c r="E117" s="90"/>
      <c r="F117" s="288"/>
      <c r="G117" s="10" t="str">
        <f>IFERROR(VLOOKUP(Fuhrpark[[#This Row],[Thema_Bezeichung]],EFs_Fuhrpark[],4,FALSE),"")</f>
        <v/>
      </c>
      <c r="H117" s="90"/>
      <c r="I117" s="90"/>
      <c r="J117" s="90"/>
      <c r="K117" s="90"/>
      <c r="L117" s="289" t="str">
        <f>IF(ISBLANK(Fuhrpark[[#This Row],[Wert 
(Zahl)]]),"", SUM(Fuhrpark[[#This Row],[Scope 1 CO2e '[kg CO2e']]:[Scope 3 CO2e '[kg CO2e']]]))</f>
        <v/>
      </c>
      <c r="M117" s="289" t="str">
        <f>IF(OR(ISBLANK(Fuhrpark[[#This Row],[Wert 
(Zahl)]]),Fuhrpark[[#This Row],[Emissionsquelle/Aktivität (Dropdown)]]&lt;&gt;"Strom (externes Laden, Deutschland)"),"", SUM(Fuhrpark[[#This Row],[Scope 1 CO2e '[kg CO2e']]],Fuhrpark[[#This Row],[Scope 2 CO2e market-based '[kg CO2e']]],Fuhrpark[[#This Row],[Scope 3 CO2e '[kg CO2e']]]))</f>
        <v/>
      </c>
      <c r="N117" s="408"/>
      <c r="O117" s="15" t="str">
        <f>IF(ISBLANK(Fuhrpark[[#This Row],[Emissionsquelle/Aktivität (Dropdown)]]),"",CONCATENATE(Fuhrpark[[#This Row],[Sektor_Thema]]," - ",Fuhrpark[[#This Row],[Emissionsquelle/Aktivität (Dropdown)]]))</f>
        <v/>
      </c>
      <c r="P117" s="15" t="str">
        <f>IF(ISBLANK(Fuhrpark[[#This Row],[Emissionsquelle/Aktivität (Dropdown)]]),"",AND(Fuhrpark[[#This Row],[Emissionsquelle/Aktivität (Dropdown)]]="Strom (externes laden, Deutschland)",ISNUMBER(Fuhrpark[[#This Row],[Scope-2-Emissionsfaktor Vertragsstrommix
'[g CO2e/kWh']
(falls verfügbar)]])))</f>
        <v/>
      </c>
      <c r="Q117" s="15" t="str">
        <f>IFERROR(VLOOKUP(Fuhrpark[[#This Row],[Thema_Bezeichung]],EFs_Fuhrpark[],5,FALSE),"")</f>
        <v/>
      </c>
      <c r="R117" s="15" t="str">
        <f>IFERROR(VLOOKUP(Fuhrpark[[#This Row],[Thema_Bezeichung]],EFs_Fuhrpark[],6,FALSE),"")</f>
        <v/>
      </c>
      <c r="S117" s="15" t="str">
        <f>IFERROR(VLOOKUP(Fuhrpark[[#This Row],[Thema_Bezeichung]],EFs_Fuhrpark[],7,FALSE),"")</f>
        <v/>
      </c>
      <c r="T117" s="15" t="str">
        <f>IFERROR(VLOOKUP(Fuhrpark[[#This Row],[Thema_Bezeichung]],EFs_Fuhrpark[],8,FALSE),"")</f>
        <v/>
      </c>
      <c r="U117" s="15" t="str">
        <f>IFERROR(VLOOKUP(Fuhrpark[[#This Row],[Thema_Bezeichung]],EFs_Fuhrpark[],9,FALSE),"")</f>
        <v/>
      </c>
      <c r="V117" s="15" t="str">
        <f>IFERROR(VLOOKUP(Fuhrpark[[#This Row],[Thema_Bezeichung]],EFs_Fuhrpark[],10,FALSE),"")</f>
        <v/>
      </c>
      <c r="W117" s="15" t="str">
        <f>IFERROR(VLOOKUP(Fuhrpark[[#This Row],[Thema_Bezeichung]],EFs_Fuhrpark[],11,FALSE),"")</f>
        <v/>
      </c>
      <c r="X117" s="15" t="str">
        <f>IFERROR(VLOOKUP(Fuhrpark[[#This Row],[Thema_Bezeichung]],EFs_Fuhrpark[],12,FALSE),"")</f>
        <v/>
      </c>
      <c r="Y117" s="15" t="str">
        <f>IFERROR(VLOOKUP(Fuhrpark[[#This Row],[Thema_Bezeichung]],EFs_Fuhrpark[],13,FALSE),"")</f>
        <v/>
      </c>
      <c r="Z117" s="15" t="str">
        <f>IFERROR(VLOOKUP(Fuhrpark[[#This Row],[Thema_Bezeichung]],EFs_Fuhrpark[],14,FALSE),"")</f>
        <v/>
      </c>
      <c r="AA117" s="15" t="str">
        <f>IFERROR(VLOOKUP(Fuhrpark[[#This Row],[Thema_Bezeichung]],EFs_Fuhrpark[],15,FALSE),"")</f>
        <v/>
      </c>
      <c r="AB117" s="15" t="str">
        <f>IF(Fuhrpark[[#This Row],[Vertragsstrommix angegegeben?]]=TRUE,Fuhrpark[[#This Row],[Scope-2-Emissionsfaktor Vertragsstrommix
'[g CO2e/kWh']
(falls verfügbar)]]/1000,IFERROR(VLOOKUP(Fuhrpark[[#This Row],[Thema_Bezeichung]],EFs_Fuhrpark[],15,FALSE),""))</f>
        <v/>
      </c>
      <c r="AC117" s="15" t="str">
        <f>IFERROR(VLOOKUP(Fuhrpark[[#This Row],[Thema_Bezeichung]],EFs_Fuhrpark[],16,FALSE),"")</f>
        <v/>
      </c>
      <c r="AD117" s="15" t="str">
        <f>IFERROR(VLOOKUP(Fuhrpark[[#This Row],[Thema_Bezeichung]],EFs_Fuhrpark[],17,FALSE),"")</f>
        <v/>
      </c>
      <c r="AE117" s="15" t="str">
        <f>IFERROR(VLOOKUP(Fuhrpark[[#This Row],[Thema_Bezeichung]],EFs_Fuhrpark[],18,FALSE),"")</f>
        <v/>
      </c>
      <c r="AF117" s="15" t="str">
        <f>IFERROR(VLOOKUP(Fuhrpark[[#This Row],[Thema_Bezeichung]],EFs_Fuhrpark[],19,FALSE),"")</f>
        <v/>
      </c>
      <c r="AG117" s="15" t="str">
        <f>IFERROR(VLOOKUP(Fuhrpark[[#This Row],[Thema_Bezeichung]],EFs_Fuhrpark[],20,FALSE),"")</f>
        <v/>
      </c>
      <c r="AH117" s="15" t="str">
        <f>IFERROR(VLOOKUP(Fuhrpark[[#This Row],[Thema_Bezeichung]],EFs_Fuhrpark[],21,FALSE),"")</f>
        <v/>
      </c>
      <c r="AI117" s="15" t="str">
        <f>IFERROR(VLOOKUP(Fuhrpark[[#This Row],[Thema_Bezeichung]],EFs_Fuhrpark[],22,FALSE),"")</f>
        <v/>
      </c>
      <c r="AJ117" s="15" t="str">
        <f>IFERROR(VLOOKUP(Fuhrpark[[#This Row],[Thema_Bezeichung]],EFs_Fuhrpark[],23,FALSE),"")</f>
        <v/>
      </c>
      <c r="AK117" s="15" t="str">
        <f>IFERROR(VLOOKUP(Fuhrpark[[#This Row],[Thema_Bezeichung]],EFs_Fuhrpark[],24,FALSE),"")</f>
        <v/>
      </c>
      <c r="AL117" s="15" t="str">
        <f>IFERROR(Fuhrpark[[#This Row],[Wert 
(Zahl)]]*Fuhrpark[[#This Row],[EF Scope 1 CO2e
(kg CO2e/Einheit)]],"")</f>
        <v/>
      </c>
      <c r="AM117" s="15" t="str">
        <f>IFERROR(Fuhrpark[[#This Row],[Wert 
(Zahl)]]*Fuhrpark[[#This Row],[EF Scope 2 CO2e
(kg CO2e/Einheit)]],"")</f>
        <v/>
      </c>
      <c r="AN117" s="15" t="str">
        <f>IFERROR(Fuhrpark[[#This Row],[Wert 
(Zahl)]]*Fuhrpark[[#This Row],[EF Scope 3 CO2e
(kg CO2e/Einheit)]],"")</f>
        <v/>
      </c>
      <c r="AO117" s="15" t="str">
        <f>IFERROR(Fuhrpark[[#This Row],[Wert 
(Zahl)]]*Fuhrpark[[#This Row],[EF Scope 1 CO2 biogen
(kg CO2 /Einheit)]],"")</f>
        <v/>
      </c>
      <c r="AP117" s="15" t="str">
        <f>IFERROR(Fuhrpark[[#This Row],[Wert 
(Zahl)]]*Fuhrpark[[#This Row],[Scope 2 Emissionsfaktor market-based '[kg CO2e/Einheit']]],"")</f>
        <v/>
      </c>
      <c r="AQ117" s="15" t="str">
        <f>IFERROR(Fuhrpark[[#This Row],[Wert 
(Zahl)]]*Fuhrpark[[#This Row],[EF Scope 1 CO2
(kg CO2/Einheit)]],"")</f>
        <v/>
      </c>
      <c r="AR117" s="15" t="str">
        <f>IFERROR(Fuhrpark[[#This Row],[Wert 
(Zahl)]]*Fuhrpark[[#This Row],[EF Scope 1 CH4
(kg CH4/Einheit)]],"")</f>
        <v/>
      </c>
      <c r="AS117" s="15" t="str">
        <f>IFERROR(Fuhrpark[[#This Row],[Wert 
(Zahl)]]*Fuhrpark[[#This Row],[EF Scope 1 N2O
(kg N2O/Einheit)]],"")</f>
        <v/>
      </c>
      <c r="AT117" s="15" t="str">
        <f>IFERROR(Fuhrpark[[#This Row],[Wert 
(Zahl)]]*Fuhrpark[[#This Row],[EF Scope 1 HFCs
(kg HFCs/Einheit)]],"")</f>
        <v/>
      </c>
      <c r="AU117" s="15" t="str">
        <f>IFERROR(Fuhrpark[[#This Row],[Wert 
(Zahl)]]*Fuhrpark[[#This Row],[EF Scope 1 PFCs
(kg PFCs/Einheit)]],"")</f>
        <v/>
      </c>
      <c r="AV117" s="15" t="str">
        <f>IFERROR(Fuhrpark[[#This Row],[Wert 
(Zahl)]]*Fuhrpark[[#This Row],[EF Scope 1 SF6
(kg SF6/Einheit)]],"")</f>
        <v/>
      </c>
      <c r="AW117" s="15" t="str">
        <f>IFERROR(Fuhrpark[[#This Row],[Wert 
(Zahl)]]*Fuhrpark[[#This Row],[EF Scope 1 NF3
(kg NF3/Einheit)]],"")</f>
        <v/>
      </c>
      <c r="AX117" s="15" t="str">
        <f>IFERROR(Fuhrpark[[#This Row],[Wert 
(Zahl)]]*Fuhrpark[[#This Row],[EF Scope 1 Nicht-Kyoto-Gase (kg Nicht-Kyoto-Gase/Einheit)]],"")</f>
        <v/>
      </c>
      <c r="AY117" s="15" t="str">
        <f>IFERROR(Fuhrpark[[#This Row],[Wert 
(Zahl)]]*Fuhrpark[[#This Row],[EF Scope 2 CO2
(kg CO2/Einheit)]],"")</f>
        <v/>
      </c>
      <c r="AZ117" s="15" t="str">
        <f>IFERROR(Fuhrpark[[#This Row],[Wert 
(Zahl)]]*Fuhrpark[[#This Row],[EF Scope 2 CH4
(kg CH4/Einheit)]],"")</f>
        <v/>
      </c>
      <c r="BA117" s="15" t="str">
        <f>IFERROR(Fuhrpark[[#This Row],[Wert 
(Zahl)]]*Fuhrpark[[#This Row],[EF Scope 2 N2O
(kg N2O/Einheit)]],"")</f>
        <v/>
      </c>
      <c r="BB117" s="15" t="str">
        <f>IFERROR(Fuhrpark[[#This Row],[Wert 
(Zahl)]]*Fuhrpark[[#This Row],[EF Scope 2 HFCs
(kg HFCs/Einheit)]],"")</f>
        <v/>
      </c>
      <c r="BC117" s="15" t="str">
        <f>IFERROR(Fuhrpark[[#This Row],[Wert 
(Zahl)]]*Fuhrpark[[#This Row],[EF Scope 2 PFCs
(kg PFCs/Einheit)]],"")</f>
        <v/>
      </c>
      <c r="BD117" s="15" t="str">
        <f>IFERROR(Fuhrpark[[#This Row],[Wert 
(Zahl)]]*Fuhrpark[[#This Row],[EF Scope 2 SF6
(kg SF6/Einheit)]],"")</f>
        <v/>
      </c>
      <c r="BE117" s="15" t="str">
        <f>IFERROR(Fuhrpark[[#This Row],[Wert 
(Zahl)]]*Fuhrpark[[#This Row],[EF Scope 2 NF3
(kg NF3/Einheit)]],"")</f>
        <v/>
      </c>
      <c r="BF117" s="15" t="str">
        <f>IFERROR(Fuhrpark[[#This Row],[Wert 
(Zahl)]]*Fuhrpark[[#This Row],[EF Scope 2 Nicht-Kyoto-Gase (kg Nicht-Kyoto-Gase/Einheit)]],"")</f>
        <v/>
      </c>
      <c r="BG117" s="15" t="str">
        <f>IF(ISBLANK(Fuhrpark[[#This Row],[Wert 
(Zahl)]]),"",IFERROR(Fuhrpark[[#This Row],[Scope 1 CO2 '[kg CO2']]]*IFERROR(VLOOKUP("CO2",GWP_100[],3,FALSE),0),0))</f>
        <v/>
      </c>
      <c r="BH117" s="15" t="str">
        <f>IF(ISBLANK(Fuhrpark[[#This Row],[Wert 
(Zahl)]]),"",IFERROR(Fuhrpark[[#This Row],[Scope 1 CH4 '[kg CH4']]]*IFERROR(VLOOKUP("CH4",GWP_100[],4,FALSE),0),0))</f>
        <v/>
      </c>
      <c r="BI117" s="15" t="str">
        <f>IF(ISBLANK(Fuhrpark[[#This Row],[Wert 
(Zahl)]]),"",IFERROR(Fuhrpark[[#This Row],[Scope 1 N2O '[kg N2O']]]*IFERROR(VLOOKUP("N2O",GWP_100[],5,FALSE),0),0))</f>
        <v/>
      </c>
      <c r="BJ117" s="15" t="str">
        <f>IF(ISBLANK(Fuhrpark[[#This Row],[Wert 
(Zahl)]]),"",IFERROR(Fuhrpark[[#This Row],[Scope 1 HFCs '[kg HFCs']]]*IFERROR(VLOOKUP(Fuhrpark[[#This Row],[Emissionsquelle/Aktivität (Dropdown)]],GWP_100[],6,FALSE),0),0))</f>
        <v/>
      </c>
      <c r="BK117" s="15" t="str">
        <f>IF(ISBLANK(Fuhrpark[[#This Row],[Wert 
(Zahl)]]),"",IFERROR(Fuhrpark[[#This Row],[Scope 1 PFCs '[kg PFCs']]]*IFERROR(VLOOKUP(Fuhrpark[[#This Row],[Emissionsquelle/Aktivität (Dropdown)]],GWP_100[],7,FALSE),0),0))</f>
        <v/>
      </c>
      <c r="BL117" s="15" t="str">
        <f>IF(ISBLANK(Fuhrpark[[#This Row],[Wert 
(Zahl)]]),"",IFERROR(Fuhrpark[[#This Row],[Scope 1 SF6 '[kg SF6']]]*IFERROR(VLOOKUP("SF6",GWP_100[],8,FALSE),0),0))</f>
        <v/>
      </c>
      <c r="BM117" s="15" t="str">
        <f>IF(ISBLANK(Fuhrpark[[#This Row],[Wert 
(Zahl)]]),"",IFERROR(Fuhrpark[[#This Row],[Scope 1 NF3 '[kg NF3']]]*IFERROR(VLOOKUP("NF3",GWP_100[],9,FALSE),0),0))</f>
        <v/>
      </c>
      <c r="BN117" s="15" t="str">
        <f>IF(ISBLANK(Fuhrpark[[#This Row],[Wert 
(Zahl)]]),"",IFERROR(Fuhrpark[[#This Row],[Scope 1 non-Kyoto '[kg non-Kyoto gas']]]*IFERROR(VLOOKUP(Fuhrpark[[#This Row],[Emissionsquelle/Aktivität (Dropdown)]],GWP_100[],10,FALSE),0),0))</f>
        <v/>
      </c>
      <c r="BO117" s="15" t="str">
        <f>IF(ISBLANK(Fuhrpark[[#This Row],[Wert 
(Zahl)]]),"",IFERROR(Fuhrpark[[#This Row],[Scope 2 CO2 '[kg CO2']]]*IFERROR(VLOOKUP("CO2",GWP_100[],3,FALSE),0),0))</f>
        <v/>
      </c>
      <c r="BP117" s="15" t="str">
        <f>IF(ISBLANK(Fuhrpark[[#This Row],[Wert 
(Zahl)]]),"",IFERROR(Fuhrpark[[#This Row],[Scope 2 CH4 '[kg CH4']]]*IFERROR(VLOOKUP("CH4",GWP_100[],4,FALSE),0),0))</f>
        <v/>
      </c>
      <c r="BQ117" s="15" t="str">
        <f>IF(ISBLANK(Fuhrpark[[#This Row],[Wert 
(Zahl)]]),"",IFERROR(Fuhrpark[[#This Row],[Scope 2 N2O '[kg N2O']]]*IFERROR(VLOOKUP("N2O",GWP_100[],5,FALSE),0),0))</f>
        <v/>
      </c>
      <c r="BR117" s="15" t="str">
        <f>IF(ISBLANK(Fuhrpark[[#This Row],[Wert 
(Zahl)]]),"",IFERROR(Fuhrpark[[#This Row],[Scope 2 HFCs '[kg HFCs']]]*IFERROR(VLOOKUP(Fuhrpark[[#This Row],[Emissionsquelle/Aktivität (Dropdown)]],GWP_100[],6,FALSE),0),0))</f>
        <v/>
      </c>
      <c r="BS117" s="15" t="str">
        <f>IF(ISBLANK(Fuhrpark[[#This Row],[Wert 
(Zahl)]]),"",IFERROR(Fuhrpark[[#This Row],[Scope 2 PFCs '[kg PFCs']]]*IFERROR(VLOOKUP(Fuhrpark[[#This Row],[Emissionsquelle/Aktivität (Dropdown)]],GWP_100[],7,FALSE),0),0))</f>
        <v/>
      </c>
      <c r="BT117" s="15" t="str">
        <f>IF(ISBLANK(Fuhrpark[[#This Row],[Wert 
(Zahl)]]),"",IFERROR(Fuhrpark[[#This Row],[Scope 2 SF6 '[kg SF6']]]*IFERROR(VLOOKUP("SF6",GWP_100[],8,FALSE),0),0))</f>
        <v/>
      </c>
      <c r="BU117" s="15" t="str">
        <f>IF(ISBLANK(Fuhrpark[[#This Row],[Wert 
(Zahl)]]),"",IFERROR(Fuhrpark[[#This Row],[Scope 2 NF3 '[kg NF3']]]*IFERROR(VLOOKUP("NF3",GWP_100[],9,FALSE),0),0))</f>
        <v/>
      </c>
      <c r="BV117" s="15" t="str">
        <f>IF(ISBLANK(Fuhrpark[[#This Row],[Wert 
(Zahl)]]),"",IFERROR(Fuhrpark[[#This Row],[Scope 2 non-Kyoto '[kg non-Kyoto gas']]]*IFERROR(VLOOKUP(Fuhrpark[[#This Row],[Emissionsquelle/Aktivität (Dropdown)]],GWP_100[],10,FALSE),0),0))</f>
        <v/>
      </c>
    </row>
    <row r="118" spans="2:92" s="89" customFormat="1" x14ac:dyDescent="0.35">
      <c r="B118" s="604"/>
      <c r="C118" s="10" t="str">
        <f t="shared" si="3"/>
        <v>Fuhrpark</v>
      </c>
      <c r="D118" s="90"/>
      <c r="E118" s="90"/>
      <c r="F118" s="288"/>
      <c r="G118" s="10" t="str">
        <f>IFERROR(VLOOKUP(Fuhrpark[[#This Row],[Thema_Bezeichung]],EFs_Fuhrpark[],4,FALSE),"")</f>
        <v/>
      </c>
      <c r="H118" s="90"/>
      <c r="I118" s="90"/>
      <c r="J118" s="90"/>
      <c r="K118" s="90"/>
      <c r="L118" s="289" t="str">
        <f>IF(ISBLANK(Fuhrpark[[#This Row],[Wert 
(Zahl)]]),"", SUM(Fuhrpark[[#This Row],[Scope 1 CO2e '[kg CO2e']]:[Scope 3 CO2e '[kg CO2e']]]))</f>
        <v/>
      </c>
      <c r="M118" s="289" t="str">
        <f>IF(OR(ISBLANK(Fuhrpark[[#This Row],[Wert 
(Zahl)]]),Fuhrpark[[#This Row],[Emissionsquelle/Aktivität (Dropdown)]]&lt;&gt;"Strom (externes Laden, Deutschland)"),"", SUM(Fuhrpark[[#This Row],[Scope 1 CO2e '[kg CO2e']]],Fuhrpark[[#This Row],[Scope 2 CO2e market-based '[kg CO2e']]],Fuhrpark[[#This Row],[Scope 3 CO2e '[kg CO2e']]]))</f>
        <v/>
      </c>
      <c r="N118" s="408"/>
      <c r="O118" s="15" t="str">
        <f>IF(ISBLANK(Fuhrpark[[#This Row],[Emissionsquelle/Aktivität (Dropdown)]]),"",CONCATENATE(Fuhrpark[[#This Row],[Sektor_Thema]]," - ",Fuhrpark[[#This Row],[Emissionsquelle/Aktivität (Dropdown)]]))</f>
        <v/>
      </c>
      <c r="P118" s="15" t="str">
        <f>IF(ISBLANK(Fuhrpark[[#This Row],[Emissionsquelle/Aktivität (Dropdown)]]),"",AND(Fuhrpark[[#This Row],[Emissionsquelle/Aktivität (Dropdown)]]="Strom (externes laden, Deutschland)",ISNUMBER(Fuhrpark[[#This Row],[Scope-2-Emissionsfaktor Vertragsstrommix
'[g CO2e/kWh']
(falls verfügbar)]])))</f>
        <v/>
      </c>
      <c r="Q118" s="15" t="str">
        <f>IFERROR(VLOOKUP(Fuhrpark[[#This Row],[Thema_Bezeichung]],EFs_Fuhrpark[],5,FALSE),"")</f>
        <v/>
      </c>
      <c r="R118" s="15" t="str">
        <f>IFERROR(VLOOKUP(Fuhrpark[[#This Row],[Thema_Bezeichung]],EFs_Fuhrpark[],6,FALSE),"")</f>
        <v/>
      </c>
      <c r="S118" s="15" t="str">
        <f>IFERROR(VLOOKUP(Fuhrpark[[#This Row],[Thema_Bezeichung]],EFs_Fuhrpark[],7,FALSE),"")</f>
        <v/>
      </c>
      <c r="T118" s="15" t="str">
        <f>IFERROR(VLOOKUP(Fuhrpark[[#This Row],[Thema_Bezeichung]],EFs_Fuhrpark[],8,FALSE),"")</f>
        <v/>
      </c>
      <c r="U118" s="15" t="str">
        <f>IFERROR(VLOOKUP(Fuhrpark[[#This Row],[Thema_Bezeichung]],EFs_Fuhrpark[],9,FALSE),"")</f>
        <v/>
      </c>
      <c r="V118" s="15" t="str">
        <f>IFERROR(VLOOKUP(Fuhrpark[[#This Row],[Thema_Bezeichung]],EFs_Fuhrpark[],10,FALSE),"")</f>
        <v/>
      </c>
      <c r="W118" s="15" t="str">
        <f>IFERROR(VLOOKUP(Fuhrpark[[#This Row],[Thema_Bezeichung]],EFs_Fuhrpark[],11,FALSE),"")</f>
        <v/>
      </c>
      <c r="X118" s="15" t="str">
        <f>IFERROR(VLOOKUP(Fuhrpark[[#This Row],[Thema_Bezeichung]],EFs_Fuhrpark[],12,FALSE),"")</f>
        <v/>
      </c>
      <c r="Y118" s="15" t="str">
        <f>IFERROR(VLOOKUP(Fuhrpark[[#This Row],[Thema_Bezeichung]],EFs_Fuhrpark[],13,FALSE),"")</f>
        <v/>
      </c>
      <c r="Z118" s="15" t="str">
        <f>IFERROR(VLOOKUP(Fuhrpark[[#This Row],[Thema_Bezeichung]],EFs_Fuhrpark[],14,FALSE),"")</f>
        <v/>
      </c>
      <c r="AA118" s="15" t="str">
        <f>IFERROR(VLOOKUP(Fuhrpark[[#This Row],[Thema_Bezeichung]],EFs_Fuhrpark[],15,FALSE),"")</f>
        <v/>
      </c>
      <c r="AB118" s="15" t="str">
        <f>IF(Fuhrpark[[#This Row],[Vertragsstrommix angegegeben?]]=TRUE,Fuhrpark[[#This Row],[Scope-2-Emissionsfaktor Vertragsstrommix
'[g CO2e/kWh']
(falls verfügbar)]]/1000,IFERROR(VLOOKUP(Fuhrpark[[#This Row],[Thema_Bezeichung]],EFs_Fuhrpark[],15,FALSE),""))</f>
        <v/>
      </c>
      <c r="AC118" s="15" t="str">
        <f>IFERROR(VLOOKUP(Fuhrpark[[#This Row],[Thema_Bezeichung]],EFs_Fuhrpark[],16,FALSE),"")</f>
        <v/>
      </c>
      <c r="AD118" s="15" t="str">
        <f>IFERROR(VLOOKUP(Fuhrpark[[#This Row],[Thema_Bezeichung]],EFs_Fuhrpark[],17,FALSE),"")</f>
        <v/>
      </c>
      <c r="AE118" s="15" t="str">
        <f>IFERROR(VLOOKUP(Fuhrpark[[#This Row],[Thema_Bezeichung]],EFs_Fuhrpark[],18,FALSE),"")</f>
        <v/>
      </c>
      <c r="AF118" s="15" t="str">
        <f>IFERROR(VLOOKUP(Fuhrpark[[#This Row],[Thema_Bezeichung]],EFs_Fuhrpark[],19,FALSE),"")</f>
        <v/>
      </c>
      <c r="AG118" s="15" t="str">
        <f>IFERROR(VLOOKUP(Fuhrpark[[#This Row],[Thema_Bezeichung]],EFs_Fuhrpark[],20,FALSE),"")</f>
        <v/>
      </c>
      <c r="AH118" s="15" t="str">
        <f>IFERROR(VLOOKUP(Fuhrpark[[#This Row],[Thema_Bezeichung]],EFs_Fuhrpark[],21,FALSE),"")</f>
        <v/>
      </c>
      <c r="AI118" s="15" t="str">
        <f>IFERROR(VLOOKUP(Fuhrpark[[#This Row],[Thema_Bezeichung]],EFs_Fuhrpark[],22,FALSE),"")</f>
        <v/>
      </c>
      <c r="AJ118" s="15" t="str">
        <f>IFERROR(VLOOKUP(Fuhrpark[[#This Row],[Thema_Bezeichung]],EFs_Fuhrpark[],23,FALSE),"")</f>
        <v/>
      </c>
      <c r="AK118" s="15" t="str">
        <f>IFERROR(VLOOKUP(Fuhrpark[[#This Row],[Thema_Bezeichung]],EFs_Fuhrpark[],24,FALSE),"")</f>
        <v/>
      </c>
      <c r="AL118" s="15" t="str">
        <f>IFERROR(Fuhrpark[[#This Row],[Wert 
(Zahl)]]*Fuhrpark[[#This Row],[EF Scope 1 CO2e
(kg CO2e/Einheit)]],"")</f>
        <v/>
      </c>
      <c r="AM118" s="15" t="str">
        <f>IFERROR(Fuhrpark[[#This Row],[Wert 
(Zahl)]]*Fuhrpark[[#This Row],[EF Scope 2 CO2e
(kg CO2e/Einheit)]],"")</f>
        <v/>
      </c>
      <c r="AN118" s="15" t="str">
        <f>IFERROR(Fuhrpark[[#This Row],[Wert 
(Zahl)]]*Fuhrpark[[#This Row],[EF Scope 3 CO2e
(kg CO2e/Einheit)]],"")</f>
        <v/>
      </c>
      <c r="AO118" s="15" t="str">
        <f>IFERROR(Fuhrpark[[#This Row],[Wert 
(Zahl)]]*Fuhrpark[[#This Row],[EF Scope 1 CO2 biogen
(kg CO2 /Einheit)]],"")</f>
        <v/>
      </c>
      <c r="AP118" s="15" t="str">
        <f>IFERROR(Fuhrpark[[#This Row],[Wert 
(Zahl)]]*Fuhrpark[[#This Row],[Scope 2 Emissionsfaktor market-based '[kg CO2e/Einheit']]],"")</f>
        <v/>
      </c>
      <c r="AQ118" s="15" t="str">
        <f>IFERROR(Fuhrpark[[#This Row],[Wert 
(Zahl)]]*Fuhrpark[[#This Row],[EF Scope 1 CO2
(kg CO2/Einheit)]],"")</f>
        <v/>
      </c>
      <c r="AR118" s="15" t="str">
        <f>IFERROR(Fuhrpark[[#This Row],[Wert 
(Zahl)]]*Fuhrpark[[#This Row],[EF Scope 1 CH4
(kg CH4/Einheit)]],"")</f>
        <v/>
      </c>
      <c r="AS118" s="15" t="str">
        <f>IFERROR(Fuhrpark[[#This Row],[Wert 
(Zahl)]]*Fuhrpark[[#This Row],[EF Scope 1 N2O
(kg N2O/Einheit)]],"")</f>
        <v/>
      </c>
      <c r="AT118" s="15" t="str">
        <f>IFERROR(Fuhrpark[[#This Row],[Wert 
(Zahl)]]*Fuhrpark[[#This Row],[EF Scope 1 HFCs
(kg HFCs/Einheit)]],"")</f>
        <v/>
      </c>
      <c r="AU118" s="15" t="str">
        <f>IFERROR(Fuhrpark[[#This Row],[Wert 
(Zahl)]]*Fuhrpark[[#This Row],[EF Scope 1 PFCs
(kg PFCs/Einheit)]],"")</f>
        <v/>
      </c>
      <c r="AV118" s="15" t="str">
        <f>IFERROR(Fuhrpark[[#This Row],[Wert 
(Zahl)]]*Fuhrpark[[#This Row],[EF Scope 1 SF6
(kg SF6/Einheit)]],"")</f>
        <v/>
      </c>
      <c r="AW118" s="15" t="str">
        <f>IFERROR(Fuhrpark[[#This Row],[Wert 
(Zahl)]]*Fuhrpark[[#This Row],[EF Scope 1 NF3
(kg NF3/Einheit)]],"")</f>
        <v/>
      </c>
      <c r="AX118" s="15" t="str">
        <f>IFERROR(Fuhrpark[[#This Row],[Wert 
(Zahl)]]*Fuhrpark[[#This Row],[EF Scope 1 Nicht-Kyoto-Gase (kg Nicht-Kyoto-Gase/Einheit)]],"")</f>
        <v/>
      </c>
      <c r="AY118" s="15" t="str">
        <f>IFERROR(Fuhrpark[[#This Row],[Wert 
(Zahl)]]*Fuhrpark[[#This Row],[EF Scope 2 CO2
(kg CO2/Einheit)]],"")</f>
        <v/>
      </c>
      <c r="AZ118" s="15" t="str">
        <f>IFERROR(Fuhrpark[[#This Row],[Wert 
(Zahl)]]*Fuhrpark[[#This Row],[EF Scope 2 CH4
(kg CH4/Einheit)]],"")</f>
        <v/>
      </c>
      <c r="BA118" s="15" t="str">
        <f>IFERROR(Fuhrpark[[#This Row],[Wert 
(Zahl)]]*Fuhrpark[[#This Row],[EF Scope 2 N2O
(kg N2O/Einheit)]],"")</f>
        <v/>
      </c>
      <c r="BB118" s="15" t="str">
        <f>IFERROR(Fuhrpark[[#This Row],[Wert 
(Zahl)]]*Fuhrpark[[#This Row],[EF Scope 2 HFCs
(kg HFCs/Einheit)]],"")</f>
        <v/>
      </c>
      <c r="BC118" s="15" t="str">
        <f>IFERROR(Fuhrpark[[#This Row],[Wert 
(Zahl)]]*Fuhrpark[[#This Row],[EF Scope 2 PFCs
(kg PFCs/Einheit)]],"")</f>
        <v/>
      </c>
      <c r="BD118" s="15" t="str">
        <f>IFERROR(Fuhrpark[[#This Row],[Wert 
(Zahl)]]*Fuhrpark[[#This Row],[EF Scope 2 SF6
(kg SF6/Einheit)]],"")</f>
        <v/>
      </c>
      <c r="BE118" s="15" t="str">
        <f>IFERROR(Fuhrpark[[#This Row],[Wert 
(Zahl)]]*Fuhrpark[[#This Row],[EF Scope 2 NF3
(kg NF3/Einheit)]],"")</f>
        <v/>
      </c>
      <c r="BF118" s="15" t="str">
        <f>IFERROR(Fuhrpark[[#This Row],[Wert 
(Zahl)]]*Fuhrpark[[#This Row],[EF Scope 2 Nicht-Kyoto-Gase (kg Nicht-Kyoto-Gase/Einheit)]],"")</f>
        <v/>
      </c>
      <c r="BG118" s="15" t="str">
        <f>IF(ISBLANK(Fuhrpark[[#This Row],[Wert 
(Zahl)]]),"",IFERROR(Fuhrpark[[#This Row],[Scope 1 CO2 '[kg CO2']]]*IFERROR(VLOOKUP("CO2",GWP_100[],3,FALSE),0),0))</f>
        <v/>
      </c>
      <c r="BH118" s="15" t="str">
        <f>IF(ISBLANK(Fuhrpark[[#This Row],[Wert 
(Zahl)]]),"",IFERROR(Fuhrpark[[#This Row],[Scope 1 CH4 '[kg CH4']]]*IFERROR(VLOOKUP("CH4",GWP_100[],4,FALSE),0),0))</f>
        <v/>
      </c>
      <c r="BI118" s="15" t="str">
        <f>IF(ISBLANK(Fuhrpark[[#This Row],[Wert 
(Zahl)]]),"",IFERROR(Fuhrpark[[#This Row],[Scope 1 N2O '[kg N2O']]]*IFERROR(VLOOKUP("N2O",GWP_100[],5,FALSE),0),0))</f>
        <v/>
      </c>
      <c r="BJ118" s="15" t="str">
        <f>IF(ISBLANK(Fuhrpark[[#This Row],[Wert 
(Zahl)]]),"",IFERROR(Fuhrpark[[#This Row],[Scope 1 HFCs '[kg HFCs']]]*IFERROR(VLOOKUP(Fuhrpark[[#This Row],[Emissionsquelle/Aktivität (Dropdown)]],GWP_100[],6,FALSE),0),0))</f>
        <v/>
      </c>
      <c r="BK118" s="15" t="str">
        <f>IF(ISBLANK(Fuhrpark[[#This Row],[Wert 
(Zahl)]]),"",IFERROR(Fuhrpark[[#This Row],[Scope 1 PFCs '[kg PFCs']]]*IFERROR(VLOOKUP(Fuhrpark[[#This Row],[Emissionsquelle/Aktivität (Dropdown)]],GWP_100[],7,FALSE),0),0))</f>
        <v/>
      </c>
      <c r="BL118" s="15" t="str">
        <f>IF(ISBLANK(Fuhrpark[[#This Row],[Wert 
(Zahl)]]),"",IFERROR(Fuhrpark[[#This Row],[Scope 1 SF6 '[kg SF6']]]*IFERROR(VLOOKUP("SF6",GWP_100[],8,FALSE),0),0))</f>
        <v/>
      </c>
      <c r="BM118" s="15" t="str">
        <f>IF(ISBLANK(Fuhrpark[[#This Row],[Wert 
(Zahl)]]),"",IFERROR(Fuhrpark[[#This Row],[Scope 1 NF3 '[kg NF3']]]*IFERROR(VLOOKUP("NF3",GWP_100[],9,FALSE),0),0))</f>
        <v/>
      </c>
      <c r="BN118" s="15" t="str">
        <f>IF(ISBLANK(Fuhrpark[[#This Row],[Wert 
(Zahl)]]),"",IFERROR(Fuhrpark[[#This Row],[Scope 1 non-Kyoto '[kg non-Kyoto gas']]]*IFERROR(VLOOKUP(Fuhrpark[[#This Row],[Emissionsquelle/Aktivität (Dropdown)]],GWP_100[],10,FALSE),0),0))</f>
        <v/>
      </c>
      <c r="BO118" s="15" t="str">
        <f>IF(ISBLANK(Fuhrpark[[#This Row],[Wert 
(Zahl)]]),"",IFERROR(Fuhrpark[[#This Row],[Scope 2 CO2 '[kg CO2']]]*IFERROR(VLOOKUP("CO2",GWP_100[],3,FALSE),0),0))</f>
        <v/>
      </c>
      <c r="BP118" s="15" t="str">
        <f>IF(ISBLANK(Fuhrpark[[#This Row],[Wert 
(Zahl)]]),"",IFERROR(Fuhrpark[[#This Row],[Scope 2 CH4 '[kg CH4']]]*IFERROR(VLOOKUP("CH4",GWP_100[],4,FALSE),0),0))</f>
        <v/>
      </c>
      <c r="BQ118" s="15" t="str">
        <f>IF(ISBLANK(Fuhrpark[[#This Row],[Wert 
(Zahl)]]),"",IFERROR(Fuhrpark[[#This Row],[Scope 2 N2O '[kg N2O']]]*IFERROR(VLOOKUP("N2O",GWP_100[],5,FALSE),0),0))</f>
        <v/>
      </c>
      <c r="BR118" s="15" t="str">
        <f>IF(ISBLANK(Fuhrpark[[#This Row],[Wert 
(Zahl)]]),"",IFERROR(Fuhrpark[[#This Row],[Scope 2 HFCs '[kg HFCs']]]*IFERROR(VLOOKUP(Fuhrpark[[#This Row],[Emissionsquelle/Aktivität (Dropdown)]],GWP_100[],6,FALSE),0),0))</f>
        <v/>
      </c>
      <c r="BS118" s="15" t="str">
        <f>IF(ISBLANK(Fuhrpark[[#This Row],[Wert 
(Zahl)]]),"",IFERROR(Fuhrpark[[#This Row],[Scope 2 PFCs '[kg PFCs']]]*IFERROR(VLOOKUP(Fuhrpark[[#This Row],[Emissionsquelle/Aktivität (Dropdown)]],GWP_100[],7,FALSE),0),0))</f>
        <v/>
      </c>
      <c r="BT118" s="15" t="str">
        <f>IF(ISBLANK(Fuhrpark[[#This Row],[Wert 
(Zahl)]]),"",IFERROR(Fuhrpark[[#This Row],[Scope 2 SF6 '[kg SF6']]]*IFERROR(VLOOKUP("SF6",GWP_100[],8,FALSE),0),0))</f>
        <v/>
      </c>
      <c r="BU118" s="15" t="str">
        <f>IF(ISBLANK(Fuhrpark[[#This Row],[Wert 
(Zahl)]]),"",IFERROR(Fuhrpark[[#This Row],[Scope 2 NF3 '[kg NF3']]]*IFERROR(VLOOKUP("NF3",GWP_100[],9,FALSE),0),0))</f>
        <v/>
      </c>
      <c r="BV118" s="15" t="str">
        <f>IF(ISBLANK(Fuhrpark[[#This Row],[Wert 
(Zahl)]]),"",IFERROR(Fuhrpark[[#This Row],[Scope 2 non-Kyoto '[kg non-Kyoto gas']]]*IFERROR(VLOOKUP(Fuhrpark[[#This Row],[Emissionsquelle/Aktivität (Dropdown)]],GWP_100[],10,FALSE),0),0))</f>
        <v/>
      </c>
    </row>
    <row r="119" spans="2:92" s="89" customFormat="1" x14ac:dyDescent="0.35">
      <c r="B119" s="604"/>
      <c r="C119" s="10" t="str">
        <f t="shared" si="3"/>
        <v>Fuhrpark</v>
      </c>
      <c r="D119" s="90"/>
      <c r="E119" s="90"/>
      <c r="F119" s="288"/>
      <c r="G119" s="10" t="str">
        <f>IFERROR(VLOOKUP(Fuhrpark[[#This Row],[Thema_Bezeichung]],EFs_Fuhrpark[],4,FALSE),"")</f>
        <v/>
      </c>
      <c r="H119" s="90"/>
      <c r="I119" s="90"/>
      <c r="J119" s="90"/>
      <c r="K119" s="90"/>
      <c r="L119" s="289" t="str">
        <f>IF(ISBLANK(Fuhrpark[[#This Row],[Wert 
(Zahl)]]),"", SUM(Fuhrpark[[#This Row],[Scope 1 CO2e '[kg CO2e']]:[Scope 3 CO2e '[kg CO2e']]]))</f>
        <v/>
      </c>
      <c r="M119" s="289" t="str">
        <f>IF(OR(ISBLANK(Fuhrpark[[#This Row],[Wert 
(Zahl)]]),Fuhrpark[[#This Row],[Emissionsquelle/Aktivität (Dropdown)]]&lt;&gt;"Strom (externes Laden, Deutschland)"),"", SUM(Fuhrpark[[#This Row],[Scope 1 CO2e '[kg CO2e']]],Fuhrpark[[#This Row],[Scope 2 CO2e market-based '[kg CO2e']]],Fuhrpark[[#This Row],[Scope 3 CO2e '[kg CO2e']]]))</f>
        <v/>
      </c>
      <c r="N119" s="408"/>
      <c r="O119" s="15" t="str">
        <f>IF(ISBLANK(Fuhrpark[[#This Row],[Emissionsquelle/Aktivität (Dropdown)]]),"",CONCATENATE(Fuhrpark[[#This Row],[Sektor_Thema]]," - ",Fuhrpark[[#This Row],[Emissionsquelle/Aktivität (Dropdown)]]))</f>
        <v/>
      </c>
      <c r="P119" s="15" t="str">
        <f>IF(ISBLANK(Fuhrpark[[#This Row],[Emissionsquelle/Aktivität (Dropdown)]]),"",AND(Fuhrpark[[#This Row],[Emissionsquelle/Aktivität (Dropdown)]]="Strom (externes laden, Deutschland)",ISNUMBER(Fuhrpark[[#This Row],[Scope-2-Emissionsfaktor Vertragsstrommix
'[g CO2e/kWh']
(falls verfügbar)]])))</f>
        <v/>
      </c>
      <c r="Q119" s="15" t="str">
        <f>IFERROR(VLOOKUP(Fuhrpark[[#This Row],[Thema_Bezeichung]],EFs_Fuhrpark[],5,FALSE),"")</f>
        <v/>
      </c>
      <c r="R119" s="15" t="str">
        <f>IFERROR(VLOOKUP(Fuhrpark[[#This Row],[Thema_Bezeichung]],EFs_Fuhrpark[],6,FALSE),"")</f>
        <v/>
      </c>
      <c r="S119" s="15" t="str">
        <f>IFERROR(VLOOKUP(Fuhrpark[[#This Row],[Thema_Bezeichung]],EFs_Fuhrpark[],7,FALSE),"")</f>
        <v/>
      </c>
      <c r="T119" s="15" t="str">
        <f>IFERROR(VLOOKUP(Fuhrpark[[#This Row],[Thema_Bezeichung]],EFs_Fuhrpark[],8,FALSE),"")</f>
        <v/>
      </c>
      <c r="U119" s="15" t="str">
        <f>IFERROR(VLOOKUP(Fuhrpark[[#This Row],[Thema_Bezeichung]],EFs_Fuhrpark[],9,FALSE),"")</f>
        <v/>
      </c>
      <c r="V119" s="15" t="str">
        <f>IFERROR(VLOOKUP(Fuhrpark[[#This Row],[Thema_Bezeichung]],EFs_Fuhrpark[],10,FALSE),"")</f>
        <v/>
      </c>
      <c r="W119" s="15" t="str">
        <f>IFERROR(VLOOKUP(Fuhrpark[[#This Row],[Thema_Bezeichung]],EFs_Fuhrpark[],11,FALSE),"")</f>
        <v/>
      </c>
      <c r="X119" s="15" t="str">
        <f>IFERROR(VLOOKUP(Fuhrpark[[#This Row],[Thema_Bezeichung]],EFs_Fuhrpark[],12,FALSE),"")</f>
        <v/>
      </c>
      <c r="Y119" s="15" t="str">
        <f>IFERROR(VLOOKUP(Fuhrpark[[#This Row],[Thema_Bezeichung]],EFs_Fuhrpark[],13,FALSE),"")</f>
        <v/>
      </c>
      <c r="Z119" s="15" t="str">
        <f>IFERROR(VLOOKUP(Fuhrpark[[#This Row],[Thema_Bezeichung]],EFs_Fuhrpark[],14,FALSE),"")</f>
        <v/>
      </c>
      <c r="AA119" s="15" t="str">
        <f>IFERROR(VLOOKUP(Fuhrpark[[#This Row],[Thema_Bezeichung]],EFs_Fuhrpark[],15,FALSE),"")</f>
        <v/>
      </c>
      <c r="AB119" s="15" t="str">
        <f>IF(Fuhrpark[[#This Row],[Vertragsstrommix angegegeben?]]=TRUE,Fuhrpark[[#This Row],[Scope-2-Emissionsfaktor Vertragsstrommix
'[g CO2e/kWh']
(falls verfügbar)]]/1000,IFERROR(VLOOKUP(Fuhrpark[[#This Row],[Thema_Bezeichung]],EFs_Fuhrpark[],15,FALSE),""))</f>
        <v/>
      </c>
      <c r="AC119" s="15" t="str">
        <f>IFERROR(VLOOKUP(Fuhrpark[[#This Row],[Thema_Bezeichung]],EFs_Fuhrpark[],16,FALSE),"")</f>
        <v/>
      </c>
      <c r="AD119" s="15" t="str">
        <f>IFERROR(VLOOKUP(Fuhrpark[[#This Row],[Thema_Bezeichung]],EFs_Fuhrpark[],17,FALSE),"")</f>
        <v/>
      </c>
      <c r="AE119" s="15" t="str">
        <f>IFERROR(VLOOKUP(Fuhrpark[[#This Row],[Thema_Bezeichung]],EFs_Fuhrpark[],18,FALSE),"")</f>
        <v/>
      </c>
      <c r="AF119" s="15" t="str">
        <f>IFERROR(VLOOKUP(Fuhrpark[[#This Row],[Thema_Bezeichung]],EFs_Fuhrpark[],19,FALSE),"")</f>
        <v/>
      </c>
      <c r="AG119" s="15" t="str">
        <f>IFERROR(VLOOKUP(Fuhrpark[[#This Row],[Thema_Bezeichung]],EFs_Fuhrpark[],20,FALSE),"")</f>
        <v/>
      </c>
      <c r="AH119" s="15" t="str">
        <f>IFERROR(VLOOKUP(Fuhrpark[[#This Row],[Thema_Bezeichung]],EFs_Fuhrpark[],21,FALSE),"")</f>
        <v/>
      </c>
      <c r="AI119" s="15" t="str">
        <f>IFERROR(VLOOKUP(Fuhrpark[[#This Row],[Thema_Bezeichung]],EFs_Fuhrpark[],22,FALSE),"")</f>
        <v/>
      </c>
      <c r="AJ119" s="15" t="str">
        <f>IFERROR(VLOOKUP(Fuhrpark[[#This Row],[Thema_Bezeichung]],EFs_Fuhrpark[],23,FALSE),"")</f>
        <v/>
      </c>
      <c r="AK119" s="15" t="str">
        <f>IFERROR(VLOOKUP(Fuhrpark[[#This Row],[Thema_Bezeichung]],EFs_Fuhrpark[],24,FALSE),"")</f>
        <v/>
      </c>
      <c r="AL119" s="15" t="str">
        <f>IFERROR(Fuhrpark[[#This Row],[Wert 
(Zahl)]]*Fuhrpark[[#This Row],[EF Scope 1 CO2e
(kg CO2e/Einheit)]],"")</f>
        <v/>
      </c>
      <c r="AM119" s="15" t="str">
        <f>IFERROR(Fuhrpark[[#This Row],[Wert 
(Zahl)]]*Fuhrpark[[#This Row],[EF Scope 2 CO2e
(kg CO2e/Einheit)]],"")</f>
        <v/>
      </c>
      <c r="AN119" s="15" t="str">
        <f>IFERROR(Fuhrpark[[#This Row],[Wert 
(Zahl)]]*Fuhrpark[[#This Row],[EF Scope 3 CO2e
(kg CO2e/Einheit)]],"")</f>
        <v/>
      </c>
      <c r="AO119" s="15" t="str">
        <f>IFERROR(Fuhrpark[[#This Row],[Wert 
(Zahl)]]*Fuhrpark[[#This Row],[EF Scope 1 CO2 biogen
(kg CO2 /Einheit)]],"")</f>
        <v/>
      </c>
      <c r="AP119" s="15" t="str">
        <f>IFERROR(Fuhrpark[[#This Row],[Wert 
(Zahl)]]*Fuhrpark[[#This Row],[Scope 2 Emissionsfaktor market-based '[kg CO2e/Einheit']]],"")</f>
        <v/>
      </c>
      <c r="AQ119" s="15" t="str">
        <f>IFERROR(Fuhrpark[[#This Row],[Wert 
(Zahl)]]*Fuhrpark[[#This Row],[EF Scope 1 CO2
(kg CO2/Einheit)]],"")</f>
        <v/>
      </c>
      <c r="AR119" s="15" t="str">
        <f>IFERROR(Fuhrpark[[#This Row],[Wert 
(Zahl)]]*Fuhrpark[[#This Row],[EF Scope 1 CH4
(kg CH4/Einheit)]],"")</f>
        <v/>
      </c>
      <c r="AS119" s="15" t="str">
        <f>IFERROR(Fuhrpark[[#This Row],[Wert 
(Zahl)]]*Fuhrpark[[#This Row],[EF Scope 1 N2O
(kg N2O/Einheit)]],"")</f>
        <v/>
      </c>
      <c r="AT119" s="15" t="str">
        <f>IFERROR(Fuhrpark[[#This Row],[Wert 
(Zahl)]]*Fuhrpark[[#This Row],[EF Scope 1 HFCs
(kg HFCs/Einheit)]],"")</f>
        <v/>
      </c>
      <c r="AU119" s="15" t="str">
        <f>IFERROR(Fuhrpark[[#This Row],[Wert 
(Zahl)]]*Fuhrpark[[#This Row],[EF Scope 1 PFCs
(kg PFCs/Einheit)]],"")</f>
        <v/>
      </c>
      <c r="AV119" s="15" t="str">
        <f>IFERROR(Fuhrpark[[#This Row],[Wert 
(Zahl)]]*Fuhrpark[[#This Row],[EF Scope 1 SF6
(kg SF6/Einheit)]],"")</f>
        <v/>
      </c>
      <c r="AW119" s="15" t="str">
        <f>IFERROR(Fuhrpark[[#This Row],[Wert 
(Zahl)]]*Fuhrpark[[#This Row],[EF Scope 1 NF3
(kg NF3/Einheit)]],"")</f>
        <v/>
      </c>
      <c r="AX119" s="15" t="str">
        <f>IFERROR(Fuhrpark[[#This Row],[Wert 
(Zahl)]]*Fuhrpark[[#This Row],[EF Scope 1 Nicht-Kyoto-Gase (kg Nicht-Kyoto-Gase/Einheit)]],"")</f>
        <v/>
      </c>
      <c r="AY119" s="15" t="str">
        <f>IFERROR(Fuhrpark[[#This Row],[Wert 
(Zahl)]]*Fuhrpark[[#This Row],[EF Scope 2 CO2
(kg CO2/Einheit)]],"")</f>
        <v/>
      </c>
      <c r="AZ119" s="15" t="str">
        <f>IFERROR(Fuhrpark[[#This Row],[Wert 
(Zahl)]]*Fuhrpark[[#This Row],[EF Scope 2 CH4
(kg CH4/Einheit)]],"")</f>
        <v/>
      </c>
      <c r="BA119" s="15" t="str">
        <f>IFERROR(Fuhrpark[[#This Row],[Wert 
(Zahl)]]*Fuhrpark[[#This Row],[EF Scope 2 N2O
(kg N2O/Einheit)]],"")</f>
        <v/>
      </c>
      <c r="BB119" s="15" t="str">
        <f>IFERROR(Fuhrpark[[#This Row],[Wert 
(Zahl)]]*Fuhrpark[[#This Row],[EF Scope 2 HFCs
(kg HFCs/Einheit)]],"")</f>
        <v/>
      </c>
      <c r="BC119" s="15" t="str">
        <f>IFERROR(Fuhrpark[[#This Row],[Wert 
(Zahl)]]*Fuhrpark[[#This Row],[EF Scope 2 PFCs
(kg PFCs/Einheit)]],"")</f>
        <v/>
      </c>
      <c r="BD119" s="15" t="str">
        <f>IFERROR(Fuhrpark[[#This Row],[Wert 
(Zahl)]]*Fuhrpark[[#This Row],[EF Scope 2 SF6
(kg SF6/Einheit)]],"")</f>
        <v/>
      </c>
      <c r="BE119" s="15" t="str">
        <f>IFERROR(Fuhrpark[[#This Row],[Wert 
(Zahl)]]*Fuhrpark[[#This Row],[EF Scope 2 NF3
(kg NF3/Einheit)]],"")</f>
        <v/>
      </c>
      <c r="BF119" s="15" t="str">
        <f>IFERROR(Fuhrpark[[#This Row],[Wert 
(Zahl)]]*Fuhrpark[[#This Row],[EF Scope 2 Nicht-Kyoto-Gase (kg Nicht-Kyoto-Gase/Einheit)]],"")</f>
        <v/>
      </c>
      <c r="BG119" s="15" t="str">
        <f>IF(ISBLANK(Fuhrpark[[#This Row],[Wert 
(Zahl)]]),"",IFERROR(Fuhrpark[[#This Row],[Scope 1 CO2 '[kg CO2']]]*IFERROR(VLOOKUP("CO2",GWP_100[],3,FALSE),0),0))</f>
        <v/>
      </c>
      <c r="BH119" s="15" t="str">
        <f>IF(ISBLANK(Fuhrpark[[#This Row],[Wert 
(Zahl)]]),"",IFERROR(Fuhrpark[[#This Row],[Scope 1 CH4 '[kg CH4']]]*IFERROR(VLOOKUP("CH4",GWP_100[],4,FALSE),0),0))</f>
        <v/>
      </c>
      <c r="BI119" s="15" t="str">
        <f>IF(ISBLANK(Fuhrpark[[#This Row],[Wert 
(Zahl)]]),"",IFERROR(Fuhrpark[[#This Row],[Scope 1 N2O '[kg N2O']]]*IFERROR(VLOOKUP("N2O",GWP_100[],5,FALSE),0),0))</f>
        <v/>
      </c>
      <c r="BJ119" s="15" t="str">
        <f>IF(ISBLANK(Fuhrpark[[#This Row],[Wert 
(Zahl)]]),"",IFERROR(Fuhrpark[[#This Row],[Scope 1 HFCs '[kg HFCs']]]*IFERROR(VLOOKUP(Fuhrpark[[#This Row],[Emissionsquelle/Aktivität (Dropdown)]],GWP_100[],6,FALSE),0),0))</f>
        <v/>
      </c>
      <c r="BK119" s="15" t="str">
        <f>IF(ISBLANK(Fuhrpark[[#This Row],[Wert 
(Zahl)]]),"",IFERROR(Fuhrpark[[#This Row],[Scope 1 PFCs '[kg PFCs']]]*IFERROR(VLOOKUP(Fuhrpark[[#This Row],[Emissionsquelle/Aktivität (Dropdown)]],GWP_100[],7,FALSE),0),0))</f>
        <v/>
      </c>
      <c r="BL119" s="15" t="str">
        <f>IF(ISBLANK(Fuhrpark[[#This Row],[Wert 
(Zahl)]]),"",IFERROR(Fuhrpark[[#This Row],[Scope 1 SF6 '[kg SF6']]]*IFERROR(VLOOKUP("SF6",GWP_100[],8,FALSE),0),0))</f>
        <v/>
      </c>
      <c r="BM119" s="15" t="str">
        <f>IF(ISBLANK(Fuhrpark[[#This Row],[Wert 
(Zahl)]]),"",IFERROR(Fuhrpark[[#This Row],[Scope 1 NF3 '[kg NF3']]]*IFERROR(VLOOKUP("NF3",GWP_100[],9,FALSE),0),0))</f>
        <v/>
      </c>
      <c r="BN119" s="15" t="str">
        <f>IF(ISBLANK(Fuhrpark[[#This Row],[Wert 
(Zahl)]]),"",IFERROR(Fuhrpark[[#This Row],[Scope 1 non-Kyoto '[kg non-Kyoto gas']]]*IFERROR(VLOOKUP(Fuhrpark[[#This Row],[Emissionsquelle/Aktivität (Dropdown)]],GWP_100[],10,FALSE),0),0))</f>
        <v/>
      </c>
      <c r="BO119" s="15" t="str">
        <f>IF(ISBLANK(Fuhrpark[[#This Row],[Wert 
(Zahl)]]),"",IFERROR(Fuhrpark[[#This Row],[Scope 2 CO2 '[kg CO2']]]*IFERROR(VLOOKUP("CO2",GWP_100[],3,FALSE),0),0))</f>
        <v/>
      </c>
      <c r="BP119" s="15" t="str">
        <f>IF(ISBLANK(Fuhrpark[[#This Row],[Wert 
(Zahl)]]),"",IFERROR(Fuhrpark[[#This Row],[Scope 2 CH4 '[kg CH4']]]*IFERROR(VLOOKUP("CH4",GWP_100[],4,FALSE),0),0))</f>
        <v/>
      </c>
      <c r="BQ119" s="15" t="str">
        <f>IF(ISBLANK(Fuhrpark[[#This Row],[Wert 
(Zahl)]]),"",IFERROR(Fuhrpark[[#This Row],[Scope 2 N2O '[kg N2O']]]*IFERROR(VLOOKUP("N2O",GWP_100[],5,FALSE),0),0))</f>
        <v/>
      </c>
      <c r="BR119" s="15" t="str">
        <f>IF(ISBLANK(Fuhrpark[[#This Row],[Wert 
(Zahl)]]),"",IFERROR(Fuhrpark[[#This Row],[Scope 2 HFCs '[kg HFCs']]]*IFERROR(VLOOKUP(Fuhrpark[[#This Row],[Emissionsquelle/Aktivität (Dropdown)]],GWP_100[],6,FALSE),0),0))</f>
        <v/>
      </c>
      <c r="BS119" s="15" t="str">
        <f>IF(ISBLANK(Fuhrpark[[#This Row],[Wert 
(Zahl)]]),"",IFERROR(Fuhrpark[[#This Row],[Scope 2 PFCs '[kg PFCs']]]*IFERROR(VLOOKUP(Fuhrpark[[#This Row],[Emissionsquelle/Aktivität (Dropdown)]],GWP_100[],7,FALSE),0),0))</f>
        <v/>
      </c>
      <c r="BT119" s="15" t="str">
        <f>IF(ISBLANK(Fuhrpark[[#This Row],[Wert 
(Zahl)]]),"",IFERROR(Fuhrpark[[#This Row],[Scope 2 SF6 '[kg SF6']]]*IFERROR(VLOOKUP("SF6",GWP_100[],8,FALSE),0),0))</f>
        <v/>
      </c>
      <c r="BU119" s="15" t="str">
        <f>IF(ISBLANK(Fuhrpark[[#This Row],[Wert 
(Zahl)]]),"",IFERROR(Fuhrpark[[#This Row],[Scope 2 NF3 '[kg NF3']]]*IFERROR(VLOOKUP("NF3",GWP_100[],9,FALSE),0),0))</f>
        <v/>
      </c>
      <c r="BV119" s="15" t="str">
        <f>IF(ISBLANK(Fuhrpark[[#This Row],[Wert 
(Zahl)]]),"",IFERROR(Fuhrpark[[#This Row],[Scope 2 non-Kyoto '[kg non-Kyoto gas']]]*IFERROR(VLOOKUP(Fuhrpark[[#This Row],[Emissionsquelle/Aktivität (Dropdown)]],GWP_100[],10,FALSE),0),0))</f>
        <v/>
      </c>
    </row>
    <row r="120" spans="2:92" s="89" customFormat="1" x14ac:dyDescent="0.35">
      <c r="B120" s="604"/>
      <c r="C120" s="10" t="str">
        <f t="shared" si="3"/>
        <v>Fuhrpark</v>
      </c>
      <c r="D120" s="90"/>
      <c r="E120" s="90"/>
      <c r="F120" s="288"/>
      <c r="G120" s="10" t="str">
        <f>IFERROR(VLOOKUP(Fuhrpark[[#This Row],[Thema_Bezeichung]],EFs_Fuhrpark[],4,FALSE),"")</f>
        <v/>
      </c>
      <c r="H120" s="90"/>
      <c r="I120" s="90"/>
      <c r="J120" s="90"/>
      <c r="K120" s="90"/>
      <c r="L120" s="289" t="str">
        <f>IF(ISBLANK(Fuhrpark[[#This Row],[Wert 
(Zahl)]]),"", SUM(Fuhrpark[[#This Row],[Scope 1 CO2e '[kg CO2e']]:[Scope 3 CO2e '[kg CO2e']]]))</f>
        <v/>
      </c>
      <c r="M120" s="289" t="str">
        <f>IF(OR(ISBLANK(Fuhrpark[[#This Row],[Wert 
(Zahl)]]),Fuhrpark[[#This Row],[Emissionsquelle/Aktivität (Dropdown)]]&lt;&gt;"Strom (externes Laden, Deutschland)"),"", SUM(Fuhrpark[[#This Row],[Scope 1 CO2e '[kg CO2e']]],Fuhrpark[[#This Row],[Scope 2 CO2e market-based '[kg CO2e']]],Fuhrpark[[#This Row],[Scope 3 CO2e '[kg CO2e']]]))</f>
        <v/>
      </c>
      <c r="N120" s="408"/>
      <c r="O120" s="15" t="str">
        <f>IF(ISBLANK(Fuhrpark[[#This Row],[Emissionsquelle/Aktivität (Dropdown)]]),"",CONCATENATE(Fuhrpark[[#This Row],[Sektor_Thema]]," - ",Fuhrpark[[#This Row],[Emissionsquelle/Aktivität (Dropdown)]]))</f>
        <v/>
      </c>
      <c r="P120" s="15" t="str">
        <f>IF(ISBLANK(Fuhrpark[[#This Row],[Emissionsquelle/Aktivität (Dropdown)]]),"",AND(Fuhrpark[[#This Row],[Emissionsquelle/Aktivität (Dropdown)]]="Strom (externes laden, Deutschland)",ISNUMBER(Fuhrpark[[#This Row],[Scope-2-Emissionsfaktor Vertragsstrommix
'[g CO2e/kWh']
(falls verfügbar)]])))</f>
        <v/>
      </c>
      <c r="Q120" s="15" t="str">
        <f>IFERROR(VLOOKUP(Fuhrpark[[#This Row],[Thema_Bezeichung]],EFs_Fuhrpark[],5,FALSE),"")</f>
        <v/>
      </c>
      <c r="R120" s="15" t="str">
        <f>IFERROR(VLOOKUP(Fuhrpark[[#This Row],[Thema_Bezeichung]],EFs_Fuhrpark[],6,FALSE),"")</f>
        <v/>
      </c>
      <c r="S120" s="15" t="str">
        <f>IFERROR(VLOOKUP(Fuhrpark[[#This Row],[Thema_Bezeichung]],EFs_Fuhrpark[],7,FALSE),"")</f>
        <v/>
      </c>
      <c r="T120" s="15" t="str">
        <f>IFERROR(VLOOKUP(Fuhrpark[[#This Row],[Thema_Bezeichung]],EFs_Fuhrpark[],8,FALSE),"")</f>
        <v/>
      </c>
      <c r="U120" s="15" t="str">
        <f>IFERROR(VLOOKUP(Fuhrpark[[#This Row],[Thema_Bezeichung]],EFs_Fuhrpark[],9,FALSE),"")</f>
        <v/>
      </c>
      <c r="V120" s="15" t="str">
        <f>IFERROR(VLOOKUP(Fuhrpark[[#This Row],[Thema_Bezeichung]],EFs_Fuhrpark[],10,FALSE),"")</f>
        <v/>
      </c>
      <c r="W120" s="15" t="str">
        <f>IFERROR(VLOOKUP(Fuhrpark[[#This Row],[Thema_Bezeichung]],EFs_Fuhrpark[],11,FALSE),"")</f>
        <v/>
      </c>
      <c r="X120" s="15" t="str">
        <f>IFERROR(VLOOKUP(Fuhrpark[[#This Row],[Thema_Bezeichung]],EFs_Fuhrpark[],12,FALSE),"")</f>
        <v/>
      </c>
      <c r="Y120" s="15" t="str">
        <f>IFERROR(VLOOKUP(Fuhrpark[[#This Row],[Thema_Bezeichung]],EFs_Fuhrpark[],13,FALSE),"")</f>
        <v/>
      </c>
      <c r="Z120" s="15" t="str">
        <f>IFERROR(VLOOKUP(Fuhrpark[[#This Row],[Thema_Bezeichung]],EFs_Fuhrpark[],14,FALSE),"")</f>
        <v/>
      </c>
      <c r="AA120" s="15" t="str">
        <f>IFERROR(VLOOKUP(Fuhrpark[[#This Row],[Thema_Bezeichung]],EFs_Fuhrpark[],15,FALSE),"")</f>
        <v/>
      </c>
      <c r="AB120" s="15" t="str">
        <f>IF(Fuhrpark[[#This Row],[Vertragsstrommix angegegeben?]]=TRUE,Fuhrpark[[#This Row],[Scope-2-Emissionsfaktor Vertragsstrommix
'[g CO2e/kWh']
(falls verfügbar)]]/1000,IFERROR(VLOOKUP(Fuhrpark[[#This Row],[Thema_Bezeichung]],EFs_Fuhrpark[],15,FALSE),""))</f>
        <v/>
      </c>
      <c r="AC120" s="15" t="str">
        <f>IFERROR(VLOOKUP(Fuhrpark[[#This Row],[Thema_Bezeichung]],EFs_Fuhrpark[],16,FALSE),"")</f>
        <v/>
      </c>
      <c r="AD120" s="15" t="str">
        <f>IFERROR(VLOOKUP(Fuhrpark[[#This Row],[Thema_Bezeichung]],EFs_Fuhrpark[],17,FALSE),"")</f>
        <v/>
      </c>
      <c r="AE120" s="15" t="str">
        <f>IFERROR(VLOOKUP(Fuhrpark[[#This Row],[Thema_Bezeichung]],EFs_Fuhrpark[],18,FALSE),"")</f>
        <v/>
      </c>
      <c r="AF120" s="15" t="str">
        <f>IFERROR(VLOOKUP(Fuhrpark[[#This Row],[Thema_Bezeichung]],EFs_Fuhrpark[],19,FALSE),"")</f>
        <v/>
      </c>
      <c r="AG120" s="15" t="str">
        <f>IFERROR(VLOOKUP(Fuhrpark[[#This Row],[Thema_Bezeichung]],EFs_Fuhrpark[],20,FALSE),"")</f>
        <v/>
      </c>
      <c r="AH120" s="15" t="str">
        <f>IFERROR(VLOOKUP(Fuhrpark[[#This Row],[Thema_Bezeichung]],EFs_Fuhrpark[],21,FALSE),"")</f>
        <v/>
      </c>
      <c r="AI120" s="15" t="str">
        <f>IFERROR(VLOOKUP(Fuhrpark[[#This Row],[Thema_Bezeichung]],EFs_Fuhrpark[],22,FALSE),"")</f>
        <v/>
      </c>
      <c r="AJ120" s="15" t="str">
        <f>IFERROR(VLOOKUP(Fuhrpark[[#This Row],[Thema_Bezeichung]],EFs_Fuhrpark[],23,FALSE),"")</f>
        <v/>
      </c>
      <c r="AK120" s="15" t="str">
        <f>IFERROR(VLOOKUP(Fuhrpark[[#This Row],[Thema_Bezeichung]],EFs_Fuhrpark[],24,FALSE),"")</f>
        <v/>
      </c>
      <c r="AL120" s="15" t="str">
        <f>IFERROR(Fuhrpark[[#This Row],[Wert 
(Zahl)]]*Fuhrpark[[#This Row],[EF Scope 1 CO2e
(kg CO2e/Einheit)]],"")</f>
        <v/>
      </c>
      <c r="AM120" s="15" t="str">
        <f>IFERROR(Fuhrpark[[#This Row],[Wert 
(Zahl)]]*Fuhrpark[[#This Row],[EF Scope 2 CO2e
(kg CO2e/Einheit)]],"")</f>
        <v/>
      </c>
      <c r="AN120" s="15" t="str">
        <f>IFERROR(Fuhrpark[[#This Row],[Wert 
(Zahl)]]*Fuhrpark[[#This Row],[EF Scope 3 CO2e
(kg CO2e/Einheit)]],"")</f>
        <v/>
      </c>
      <c r="AO120" s="15" t="str">
        <f>IFERROR(Fuhrpark[[#This Row],[Wert 
(Zahl)]]*Fuhrpark[[#This Row],[EF Scope 1 CO2 biogen
(kg CO2 /Einheit)]],"")</f>
        <v/>
      </c>
      <c r="AP120" s="15" t="str">
        <f>IFERROR(Fuhrpark[[#This Row],[Wert 
(Zahl)]]*Fuhrpark[[#This Row],[Scope 2 Emissionsfaktor market-based '[kg CO2e/Einheit']]],"")</f>
        <v/>
      </c>
      <c r="AQ120" s="15" t="str">
        <f>IFERROR(Fuhrpark[[#This Row],[Wert 
(Zahl)]]*Fuhrpark[[#This Row],[EF Scope 1 CO2
(kg CO2/Einheit)]],"")</f>
        <v/>
      </c>
      <c r="AR120" s="15" t="str">
        <f>IFERROR(Fuhrpark[[#This Row],[Wert 
(Zahl)]]*Fuhrpark[[#This Row],[EF Scope 1 CH4
(kg CH4/Einheit)]],"")</f>
        <v/>
      </c>
      <c r="AS120" s="15" t="str">
        <f>IFERROR(Fuhrpark[[#This Row],[Wert 
(Zahl)]]*Fuhrpark[[#This Row],[EF Scope 1 N2O
(kg N2O/Einheit)]],"")</f>
        <v/>
      </c>
      <c r="AT120" s="15" t="str">
        <f>IFERROR(Fuhrpark[[#This Row],[Wert 
(Zahl)]]*Fuhrpark[[#This Row],[EF Scope 1 HFCs
(kg HFCs/Einheit)]],"")</f>
        <v/>
      </c>
      <c r="AU120" s="15" t="str">
        <f>IFERROR(Fuhrpark[[#This Row],[Wert 
(Zahl)]]*Fuhrpark[[#This Row],[EF Scope 1 PFCs
(kg PFCs/Einheit)]],"")</f>
        <v/>
      </c>
      <c r="AV120" s="15" t="str">
        <f>IFERROR(Fuhrpark[[#This Row],[Wert 
(Zahl)]]*Fuhrpark[[#This Row],[EF Scope 1 SF6
(kg SF6/Einheit)]],"")</f>
        <v/>
      </c>
      <c r="AW120" s="15" t="str">
        <f>IFERROR(Fuhrpark[[#This Row],[Wert 
(Zahl)]]*Fuhrpark[[#This Row],[EF Scope 1 NF3
(kg NF3/Einheit)]],"")</f>
        <v/>
      </c>
      <c r="AX120" s="15" t="str">
        <f>IFERROR(Fuhrpark[[#This Row],[Wert 
(Zahl)]]*Fuhrpark[[#This Row],[EF Scope 1 Nicht-Kyoto-Gase (kg Nicht-Kyoto-Gase/Einheit)]],"")</f>
        <v/>
      </c>
      <c r="AY120" s="15" t="str">
        <f>IFERROR(Fuhrpark[[#This Row],[Wert 
(Zahl)]]*Fuhrpark[[#This Row],[EF Scope 2 CO2
(kg CO2/Einheit)]],"")</f>
        <v/>
      </c>
      <c r="AZ120" s="15" t="str">
        <f>IFERROR(Fuhrpark[[#This Row],[Wert 
(Zahl)]]*Fuhrpark[[#This Row],[EF Scope 2 CH4
(kg CH4/Einheit)]],"")</f>
        <v/>
      </c>
      <c r="BA120" s="15" t="str">
        <f>IFERROR(Fuhrpark[[#This Row],[Wert 
(Zahl)]]*Fuhrpark[[#This Row],[EF Scope 2 N2O
(kg N2O/Einheit)]],"")</f>
        <v/>
      </c>
      <c r="BB120" s="15" t="str">
        <f>IFERROR(Fuhrpark[[#This Row],[Wert 
(Zahl)]]*Fuhrpark[[#This Row],[EF Scope 2 HFCs
(kg HFCs/Einheit)]],"")</f>
        <v/>
      </c>
      <c r="BC120" s="15" t="str">
        <f>IFERROR(Fuhrpark[[#This Row],[Wert 
(Zahl)]]*Fuhrpark[[#This Row],[EF Scope 2 PFCs
(kg PFCs/Einheit)]],"")</f>
        <v/>
      </c>
      <c r="BD120" s="15" t="str">
        <f>IFERROR(Fuhrpark[[#This Row],[Wert 
(Zahl)]]*Fuhrpark[[#This Row],[EF Scope 2 SF6
(kg SF6/Einheit)]],"")</f>
        <v/>
      </c>
      <c r="BE120" s="15" t="str">
        <f>IFERROR(Fuhrpark[[#This Row],[Wert 
(Zahl)]]*Fuhrpark[[#This Row],[EF Scope 2 NF3
(kg NF3/Einheit)]],"")</f>
        <v/>
      </c>
      <c r="BF120" s="15" t="str">
        <f>IFERROR(Fuhrpark[[#This Row],[Wert 
(Zahl)]]*Fuhrpark[[#This Row],[EF Scope 2 Nicht-Kyoto-Gase (kg Nicht-Kyoto-Gase/Einheit)]],"")</f>
        <v/>
      </c>
      <c r="BG120" s="15" t="str">
        <f>IF(ISBLANK(Fuhrpark[[#This Row],[Wert 
(Zahl)]]),"",IFERROR(Fuhrpark[[#This Row],[Scope 1 CO2 '[kg CO2']]]*IFERROR(VLOOKUP("CO2",GWP_100[],3,FALSE),0),0))</f>
        <v/>
      </c>
      <c r="BH120" s="15" t="str">
        <f>IF(ISBLANK(Fuhrpark[[#This Row],[Wert 
(Zahl)]]),"",IFERROR(Fuhrpark[[#This Row],[Scope 1 CH4 '[kg CH4']]]*IFERROR(VLOOKUP("CH4",GWP_100[],4,FALSE),0),0))</f>
        <v/>
      </c>
      <c r="BI120" s="15" t="str">
        <f>IF(ISBLANK(Fuhrpark[[#This Row],[Wert 
(Zahl)]]),"",IFERROR(Fuhrpark[[#This Row],[Scope 1 N2O '[kg N2O']]]*IFERROR(VLOOKUP("N2O",GWP_100[],5,FALSE),0),0))</f>
        <v/>
      </c>
      <c r="BJ120" s="15" t="str">
        <f>IF(ISBLANK(Fuhrpark[[#This Row],[Wert 
(Zahl)]]),"",IFERROR(Fuhrpark[[#This Row],[Scope 1 HFCs '[kg HFCs']]]*IFERROR(VLOOKUP(Fuhrpark[[#This Row],[Emissionsquelle/Aktivität (Dropdown)]],GWP_100[],6,FALSE),0),0))</f>
        <v/>
      </c>
      <c r="BK120" s="15" t="str">
        <f>IF(ISBLANK(Fuhrpark[[#This Row],[Wert 
(Zahl)]]),"",IFERROR(Fuhrpark[[#This Row],[Scope 1 PFCs '[kg PFCs']]]*IFERROR(VLOOKUP(Fuhrpark[[#This Row],[Emissionsquelle/Aktivität (Dropdown)]],GWP_100[],7,FALSE),0),0))</f>
        <v/>
      </c>
      <c r="BL120" s="15" t="str">
        <f>IF(ISBLANK(Fuhrpark[[#This Row],[Wert 
(Zahl)]]),"",IFERROR(Fuhrpark[[#This Row],[Scope 1 SF6 '[kg SF6']]]*IFERROR(VLOOKUP("SF6",GWP_100[],8,FALSE),0),0))</f>
        <v/>
      </c>
      <c r="BM120" s="15" t="str">
        <f>IF(ISBLANK(Fuhrpark[[#This Row],[Wert 
(Zahl)]]),"",IFERROR(Fuhrpark[[#This Row],[Scope 1 NF3 '[kg NF3']]]*IFERROR(VLOOKUP("NF3",GWP_100[],9,FALSE),0),0))</f>
        <v/>
      </c>
      <c r="BN120" s="15" t="str">
        <f>IF(ISBLANK(Fuhrpark[[#This Row],[Wert 
(Zahl)]]),"",IFERROR(Fuhrpark[[#This Row],[Scope 1 non-Kyoto '[kg non-Kyoto gas']]]*IFERROR(VLOOKUP(Fuhrpark[[#This Row],[Emissionsquelle/Aktivität (Dropdown)]],GWP_100[],10,FALSE),0),0))</f>
        <v/>
      </c>
      <c r="BO120" s="15" t="str">
        <f>IF(ISBLANK(Fuhrpark[[#This Row],[Wert 
(Zahl)]]),"",IFERROR(Fuhrpark[[#This Row],[Scope 2 CO2 '[kg CO2']]]*IFERROR(VLOOKUP("CO2",GWP_100[],3,FALSE),0),0))</f>
        <v/>
      </c>
      <c r="BP120" s="15" t="str">
        <f>IF(ISBLANK(Fuhrpark[[#This Row],[Wert 
(Zahl)]]),"",IFERROR(Fuhrpark[[#This Row],[Scope 2 CH4 '[kg CH4']]]*IFERROR(VLOOKUP("CH4",GWP_100[],4,FALSE),0),0))</f>
        <v/>
      </c>
      <c r="BQ120" s="15" t="str">
        <f>IF(ISBLANK(Fuhrpark[[#This Row],[Wert 
(Zahl)]]),"",IFERROR(Fuhrpark[[#This Row],[Scope 2 N2O '[kg N2O']]]*IFERROR(VLOOKUP("N2O",GWP_100[],5,FALSE),0),0))</f>
        <v/>
      </c>
      <c r="BR120" s="15" t="str">
        <f>IF(ISBLANK(Fuhrpark[[#This Row],[Wert 
(Zahl)]]),"",IFERROR(Fuhrpark[[#This Row],[Scope 2 HFCs '[kg HFCs']]]*IFERROR(VLOOKUP(Fuhrpark[[#This Row],[Emissionsquelle/Aktivität (Dropdown)]],GWP_100[],6,FALSE),0),0))</f>
        <v/>
      </c>
      <c r="BS120" s="15" t="str">
        <f>IF(ISBLANK(Fuhrpark[[#This Row],[Wert 
(Zahl)]]),"",IFERROR(Fuhrpark[[#This Row],[Scope 2 PFCs '[kg PFCs']]]*IFERROR(VLOOKUP(Fuhrpark[[#This Row],[Emissionsquelle/Aktivität (Dropdown)]],GWP_100[],7,FALSE),0),0))</f>
        <v/>
      </c>
      <c r="BT120" s="15" t="str">
        <f>IF(ISBLANK(Fuhrpark[[#This Row],[Wert 
(Zahl)]]),"",IFERROR(Fuhrpark[[#This Row],[Scope 2 SF6 '[kg SF6']]]*IFERROR(VLOOKUP("SF6",GWP_100[],8,FALSE),0),0))</f>
        <v/>
      </c>
      <c r="BU120" s="15" t="str">
        <f>IF(ISBLANK(Fuhrpark[[#This Row],[Wert 
(Zahl)]]),"",IFERROR(Fuhrpark[[#This Row],[Scope 2 NF3 '[kg NF3']]]*IFERROR(VLOOKUP("NF3",GWP_100[],9,FALSE),0),0))</f>
        <v/>
      </c>
      <c r="BV120" s="15" t="str">
        <f>IF(ISBLANK(Fuhrpark[[#This Row],[Wert 
(Zahl)]]),"",IFERROR(Fuhrpark[[#This Row],[Scope 2 non-Kyoto '[kg non-Kyoto gas']]]*IFERROR(VLOOKUP(Fuhrpark[[#This Row],[Emissionsquelle/Aktivität (Dropdown)]],GWP_100[],10,FALSE),0),0))</f>
        <v/>
      </c>
    </row>
    <row r="121" spans="2:92" s="89" customFormat="1" x14ac:dyDescent="0.35">
      <c r="B121" s="604"/>
      <c r="C121" s="10" t="str">
        <f t="shared" si="3"/>
        <v>Fuhrpark</v>
      </c>
      <c r="D121" s="90"/>
      <c r="E121" s="90"/>
      <c r="F121" s="288"/>
      <c r="G121" s="10" t="str">
        <f>IFERROR(VLOOKUP(Fuhrpark[[#This Row],[Thema_Bezeichung]],EFs_Fuhrpark[],4,FALSE),"")</f>
        <v/>
      </c>
      <c r="H121" s="90"/>
      <c r="I121" s="90"/>
      <c r="J121" s="90"/>
      <c r="K121" s="90"/>
      <c r="L121" s="289" t="str">
        <f>IF(ISBLANK(Fuhrpark[[#This Row],[Wert 
(Zahl)]]),"", SUM(Fuhrpark[[#This Row],[Scope 1 CO2e '[kg CO2e']]:[Scope 3 CO2e '[kg CO2e']]]))</f>
        <v/>
      </c>
      <c r="M121" s="289" t="str">
        <f>IF(OR(ISBLANK(Fuhrpark[[#This Row],[Wert 
(Zahl)]]),Fuhrpark[[#This Row],[Emissionsquelle/Aktivität (Dropdown)]]&lt;&gt;"Strom (externes Laden, Deutschland)"),"", SUM(Fuhrpark[[#This Row],[Scope 1 CO2e '[kg CO2e']]],Fuhrpark[[#This Row],[Scope 2 CO2e market-based '[kg CO2e']]],Fuhrpark[[#This Row],[Scope 3 CO2e '[kg CO2e']]]))</f>
        <v/>
      </c>
      <c r="N121" s="408"/>
      <c r="O121" s="15" t="str">
        <f>IF(ISBLANK(Fuhrpark[[#This Row],[Emissionsquelle/Aktivität (Dropdown)]]),"",CONCATENATE(Fuhrpark[[#This Row],[Sektor_Thema]]," - ",Fuhrpark[[#This Row],[Emissionsquelle/Aktivität (Dropdown)]]))</f>
        <v/>
      </c>
      <c r="P121" s="15" t="str">
        <f>IF(ISBLANK(Fuhrpark[[#This Row],[Emissionsquelle/Aktivität (Dropdown)]]),"",AND(Fuhrpark[[#This Row],[Emissionsquelle/Aktivität (Dropdown)]]="Strom (externes laden, Deutschland)",ISNUMBER(Fuhrpark[[#This Row],[Scope-2-Emissionsfaktor Vertragsstrommix
'[g CO2e/kWh']
(falls verfügbar)]])))</f>
        <v/>
      </c>
      <c r="Q121" s="15" t="str">
        <f>IFERROR(VLOOKUP(Fuhrpark[[#This Row],[Thema_Bezeichung]],EFs_Fuhrpark[],5,FALSE),"")</f>
        <v/>
      </c>
      <c r="R121" s="15" t="str">
        <f>IFERROR(VLOOKUP(Fuhrpark[[#This Row],[Thema_Bezeichung]],EFs_Fuhrpark[],6,FALSE),"")</f>
        <v/>
      </c>
      <c r="S121" s="15" t="str">
        <f>IFERROR(VLOOKUP(Fuhrpark[[#This Row],[Thema_Bezeichung]],EFs_Fuhrpark[],7,FALSE),"")</f>
        <v/>
      </c>
      <c r="T121" s="15" t="str">
        <f>IFERROR(VLOOKUP(Fuhrpark[[#This Row],[Thema_Bezeichung]],EFs_Fuhrpark[],8,FALSE),"")</f>
        <v/>
      </c>
      <c r="U121" s="15" t="str">
        <f>IFERROR(VLOOKUP(Fuhrpark[[#This Row],[Thema_Bezeichung]],EFs_Fuhrpark[],9,FALSE),"")</f>
        <v/>
      </c>
      <c r="V121" s="15" t="str">
        <f>IFERROR(VLOOKUP(Fuhrpark[[#This Row],[Thema_Bezeichung]],EFs_Fuhrpark[],10,FALSE),"")</f>
        <v/>
      </c>
      <c r="W121" s="15" t="str">
        <f>IFERROR(VLOOKUP(Fuhrpark[[#This Row],[Thema_Bezeichung]],EFs_Fuhrpark[],11,FALSE),"")</f>
        <v/>
      </c>
      <c r="X121" s="15" t="str">
        <f>IFERROR(VLOOKUP(Fuhrpark[[#This Row],[Thema_Bezeichung]],EFs_Fuhrpark[],12,FALSE),"")</f>
        <v/>
      </c>
      <c r="Y121" s="15" t="str">
        <f>IFERROR(VLOOKUP(Fuhrpark[[#This Row],[Thema_Bezeichung]],EFs_Fuhrpark[],13,FALSE),"")</f>
        <v/>
      </c>
      <c r="Z121" s="15" t="str">
        <f>IFERROR(VLOOKUP(Fuhrpark[[#This Row],[Thema_Bezeichung]],EFs_Fuhrpark[],14,FALSE),"")</f>
        <v/>
      </c>
      <c r="AA121" s="15" t="str">
        <f>IFERROR(VLOOKUP(Fuhrpark[[#This Row],[Thema_Bezeichung]],EFs_Fuhrpark[],15,FALSE),"")</f>
        <v/>
      </c>
      <c r="AB121" s="15" t="str">
        <f>IF(Fuhrpark[[#This Row],[Vertragsstrommix angegegeben?]]=TRUE,Fuhrpark[[#This Row],[Scope-2-Emissionsfaktor Vertragsstrommix
'[g CO2e/kWh']
(falls verfügbar)]]/1000,IFERROR(VLOOKUP(Fuhrpark[[#This Row],[Thema_Bezeichung]],EFs_Fuhrpark[],15,FALSE),""))</f>
        <v/>
      </c>
      <c r="AC121" s="15" t="str">
        <f>IFERROR(VLOOKUP(Fuhrpark[[#This Row],[Thema_Bezeichung]],EFs_Fuhrpark[],16,FALSE),"")</f>
        <v/>
      </c>
      <c r="AD121" s="15" t="str">
        <f>IFERROR(VLOOKUP(Fuhrpark[[#This Row],[Thema_Bezeichung]],EFs_Fuhrpark[],17,FALSE),"")</f>
        <v/>
      </c>
      <c r="AE121" s="15" t="str">
        <f>IFERROR(VLOOKUP(Fuhrpark[[#This Row],[Thema_Bezeichung]],EFs_Fuhrpark[],18,FALSE),"")</f>
        <v/>
      </c>
      <c r="AF121" s="15" t="str">
        <f>IFERROR(VLOOKUP(Fuhrpark[[#This Row],[Thema_Bezeichung]],EFs_Fuhrpark[],19,FALSE),"")</f>
        <v/>
      </c>
      <c r="AG121" s="15" t="str">
        <f>IFERROR(VLOOKUP(Fuhrpark[[#This Row],[Thema_Bezeichung]],EFs_Fuhrpark[],20,FALSE),"")</f>
        <v/>
      </c>
      <c r="AH121" s="15" t="str">
        <f>IFERROR(VLOOKUP(Fuhrpark[[#This Row],[Thema_Bezeichung]],EFs_Fuhrpark[],21,FALSE),"")</f>
        <v/>
      </c>
      <c r="AI121" s="15" t="str">
        <f>IFERROR(VLOOKUP(Fuhrpark[[#This Row],[Thema_Bezeichung]],EFs_Fuhrpark[],22,FALSE),"")</f>
        <v/>
      </c>
      <c r="AJ121" s="15" t="str">
        <f>IFERROR(VLOOKUP(Fuhrpark[[#This Row],[Thema_Bezeichung]],EFs_Fuhrpark[],23,FALSE),"")</f>
        <v/>
      </c>
      <c r="AK121" s="15" t="str">
        <f>IFERROR(VLOOKUP(Fuhrpark[[#This Row],[Thema_Bezeichung]],EFs_Fuhrpark[],24,FALSE),"")</f>
        <v/>
      </c>
      <c r="AL121" s="15" t="str">
        <f>IFERROR(Fuhrpark[[#This Row],[Wert 
(Zahl)]]*Fuhrpark[[#This Row],[EF Scope 1 CO2e
(kg CO2e/Einheit)]],"")</f>
        <v/>
      </c>
      <c r="AM121" s="15" t="str">
        <f>IFERROR(Fuhrpark[[#This Row],[Wert 
(Zahl)]]*Fuhrpark[[#This Row],[EF Scope 2 CO2e
(kg CO2e/Einheit)]],"")</f>
        <v/>
      </c>
      <c r="AN121" s="15" t="str">
        <f>IFERROR(Fuhrpark[[#This Row],[Wert 
(Zahl)]]*Fuhrpark[[#This Row],[EF Scope 3 CO2e
(kg CO2e/Einheit)]],"")</f>
        <v/>
      </c>
      <c r="AO121" s="15" t="str">
        <f>IFERROR(Fuhrpark[[#This Row],[Wert 
(Zahl)]]*Fuhrpark[[#This Row],[EF Scope 1 CO2 biogen
(kg CO2 /Einheit)]],"")</f>
        <v/>
      </c>
      <c r="AP121" s="15" t="str">
        <f>IFERROR(Fuhrpark[[#This Row],[Wert 
(Zahl)]]*Fuhrpark[[#This Row],[Scope 2 Emissionsfaktor market-based '[kg CO2e/Einheit']]],"")</f>
        <v/>
      </c>
      <c r="AQ121" s="15" t="str">
        <f>IFERROR(Fuhrpark[[#This Row],[Wert 
(Zahl)]]*Fuhrpark[[#This Row],[EF Scope 1 CO2
(kg CO2/Einheit)]],"")</f>
        <v/>
      </c>
      <c r="AR121" s="15" t="str">
        <f>IFERROR(Fuhrpark[[#This Row],[Wert 
(Zahl)]]*Fuhrpark[[#This Row],[EF Scope 1 CH4
(kg CH4/Einheit)]],"")</f>
        <v/>
      </c>
      <c r="AS121" s="15" t="str">
        <f>IFERROR(Fuhrpark[[#This Row],[Wert 
(Zahl)]]*Fuhrpark[[#This Row],[EF Scope 1 N2O
(kg N2O/Einheit)]],"")</f>
        <v/>
      </c>
      <c r="AT121" s="15" t="str">
        <f>IFERROR(Fuhrpark[[#This Row],[Wert 
(Zahl)]]*Fuhrpark[[#This Row],[EF Scope 1 HFCs
(kg HFCs/Einheit)]],"")</f>
        <v/>
      </c>
      <c r="AU121" s="15" t="str">
        <f>IFERROR(Fuhrpark[[#This Row],[Wert 
(Zahl)]]*Fuhrpark[[#This Row],[EF Scope 1 PFCs
(kg PFCs/Einheit)]],"")</f>
        <v/>
      </c>
      <c r="AV121" s="15" t="str">
        <f>IFERROR(Fuhrpark[[#This Row],[Wert 
(Zahl)]]*Fuhrpark[[#This Row],[EF Scope 1 SF6
(kg SF6/Einheit)]],"")</f>
        <v/>
      </c>
      <c r="AW121" s="15" t="str">
        <f>IFERROR(Fuhrpark[[#This Row],[Wert 
(Zahl)]]*Fuhrpark[[#This Row],[EF Scope 1 NF3
(kg NF3/Einheit)]],"")</f>
        <v/>
      </c>
      <c r="AX121" s="15" t="str">
        <f>IFERROR(Fuhrpark[[#This Row],[Wert 
(Zahl)]]*Fuhrpark[[#This Row],[EF Scope 1 Nicht-Kyoto-Gase (kg Nicht-Kyoto-Gase/Einheit)]],"")</f>
        <v/>
      </c>
      <c r="AY121" s="15" t="str">
        <f>IFERROR(Fuhrpark[[#This Row],[Wert 
(Zahl)]]*Fuhrpark[[#This Row],[EF Scope 2 CO2
(kg CO2/Einheit)]],"")</f>
        <v/>
      </c>
      <c r="AZ121" s="15" t="str">
        <f>IFERROR(Fuhrpark[[#This Row],[Wert 
(Zahl)]]*Fuhrpark[[#This Row],[EF Scope 2 CH4
(kg CH4/Einheit)]],"")</f>
        <v/>
      </c>
      <c r="BA121" s="15" t="str">
        <f>IFERROR(Fuhrpark[[#This Row],[Wert 
(Zahl)]]*Fuhrpark[[#This Row],[EF Scope 2 N2O
(kg N2O/Einheit)]],"")</f>
        <v/>
      </c>
      <c r="BB121" s="15" t="str">
        <f>IFERROR(Fuhrpark[[#This Row],[Wert 
(Zahl)]]*Fuhrpark[[#This Row],[EF Scope 2 HFCs
(kg HFCs/Einheit)]],"")</f>
        <v/>
      </c>
      <c r="BC121" s="15" t="str">
        <f>IFERROR(Fuhrpark[[#This Row],[Wert 
(Zahl)]]*Fuhrpark[[#This Row],[EF Scope 2 PFCs
(kg PFCs/Einheit)]],"")</f>
        <v/>
      </c>
      <c r="BD121" s="15" t="str">
        <f>IFERROR(Fuhrpark[[#This Row],[Wert 
(Zahl)]]*Fuhrpark[[#This Row],[EF Scope 2 SF6
(kg SF6/Einheit)]],"")</f>
        <v/>
      </c>
      <c r="BE121" s="15" t="str">
        <f>IFERROR(Fuhrpark[[#This Row],[Wert 
(Zahl)]]*Fuhrpark[[#This Row],[EF Scope 2 NF3
(kg NF3/Einheit)]],"")</f>
        <v/>
      </c>
      <c r="BF121" s="15" t="str">
        <f>IFERROR(Fuhrpark[[#This Row],[Wert 
(Zahl)]]*Fuhrpark[[#This Row],[EF Scope 2 Nicht-Kyoto-Gase (kg Nicht-Kyoto-Gase/Einheit)]],"")</f>
        <v/>
      </c>
      <c r="BG121" s="15" t="str">
        <f>IF(ISBLANK(Fuhrpark[[#This Row],[Wert 
(Zahl)]]),"",IFERROR(Fuhrpark[[#This Row],[Scope 1 CO2 '[kg CO2']]]*IFERROR(VLOOKUP("CO2",GWP_100[],3,FALSE),0),0))</f>
        <v/>
      </c>
      <c r="BH121" s="15" t="str">
        <f>IF(ISBLANK(Fuhrpark[[#This Row],[Wert 
(Zahl)]]),"",IFERROR(Fuhrpark[[#This Row],[Scope 1 CH4 '[kg CH4']]]*IFERROR(VLOOKUP("CH4",GWP_100[],4,FALSE),0),0))</f>
        <v/>
      </c>
      <c r="BI121" s="15" t="str">
        <f>IF(ISBLANK(Fuhrpark[[#This Row],[Wert 
(Zahl)]]),"",IFERROR(Fuhrpark[[#This Row],[Scope 1 N2O '[kg N2O']]]*IFERROR(VLOOKUP("N2O",GWP_100[],5,FALSE),0),0))</f>
        <v/>
      </c>
      <c r="BJ121" s="15" t="str">
        <f>IF(ISBLANK(Fuhrpark[[#This Row],[Wert 
(Zahl)]]),"",IFERROR(Fuhrpark[[#This Row],[Scope 1 HFCs '[kg HFCs']]]*IFERROR(VLOOKUP(Fuhrpark[[#This Row],[Emissionsquelle/Aktivität (Dropdown)]],GWP_100[],6,FALSE),0),0))</f>
        <v/>
      </c>
      <c r="BK121" s="15" t="str">
        <f>IF(ISBLANK(Fuhrpark[[#This Row],[Wert 
(Zahl)]]),"",IFERROR(Fuhrpark[[#This Row],[Scope 1 PFCs '[kg PFCs']]]*IFERROR(VLOOKUP(Fuhrpark[[#This Row],[Emissionsquelle/Aktivität (Dropdown)]],GWP_100[],7,FALSE),0),0))</f>
        <v/>
      </c>
      <c r="BL121" s="15" t="str">
        <f>IF(ISBLANK(Fuhrpark[[#This Row],[Wert 
(Zahl)]]),"",IFERROR(Fuhrpark[[#This Row],[Scope 1 SF6 '[kg SF6']]]*IFERROR(VLOOKUP("SF6",GWP_100[],8,FALSE),0),0))</f>
        <v/>
      </c>
      <c r="BM121" s="15" t="str">
        <f>IF(ISBLANK(Fuhrpark[[#This Row],[Wert 
(Zahl)]]),"",IFERROR(Fuhrpark[[#This Row],[Scope 1 NF3 '[kg NF3']]]*IFERROR(VLOOKUP("NF3",GWP_100[],9,FALSE),0),0))</f>
        <v/>
      </c>
      <c r="BN121" s="15" t="str">
        <f>IF(ISBLANK(Fuhrpark[[#This Row],[Wert 
(Zahl)]]),"",IFERROR(Fuhrpark[[#This Row],[Scope 1 non-Kyoto '[kg non-Kyoto gas']]]*IFERROR(VLOOKUP(Fuhrpark[[#This Row],[Emissionsquelle/Aktivität (Dropdown)]],GWP_100[],10,FALSE),0),0))</f>
        <v/>
      </c>
      <c r="BO121" s="15" t="str">
        <f>IF(ISBLANK(Fuhrpark[[#This Row],[Wert 
(Zahl)]]),"",IFERROR(Fuhrpark[[#This Row],[Scope 2 CO2 '[kg CO2']]]*IFERROR(VLOOKUP("CO2",GWP_100[],3,FALSE),0),0))</f>
        <v/>
      </c>
      <c r="BP121" s="15" t="str">
        <f>IF(ISBLANK(Fuhrpark[[#This Row],[Wert 
(Zahl)]]),"",IFERROR(Fuhrpark[[#This Row],[Scope 2 CH4 '[kg CH4']]]*IFERROR(VLOOKUP("CH4",GWP_100[],4,FALSE),0),0))</f>
        <v/>
      </c>
      <c r="BQ121" s="15" t="str">
        <f>IF(ISBLANK(Fuhrpark[[#This Row],[Wert 
(Zahl)]]),"",IFERROR(Fuhrpark[[#This Row],[Scope 2 N2O '[kg N2O']]]*IFERROR(VLOOKUP("N2O",GWP_100[],5,FALSE),0),0))</f>
        <v/>
      </c>
      <c r="BR121" s="15" t="str">
        <f>IF(ISBLANK(Fuhrpark[[#This Row],[Wert 
(Zahl)]]),"",IFERROR(Fuhrpark[[#This Row],[Scope 2 HFCs '[kg HFCs']]]*IFERROR(VLOOKUP(Fuhrpark[[#This Row],[Emissionsquelle/Aktivität (Dropdown)]],GWP_100[],6,FALSE),0),0))</f>
        <v/>
      </c>
      <c r="BS121" s="15" t="str">
        <f>IF(ISBLANK(Fuhrpark[[#This Row],[Wert 
(Zahl)]]),"",IFERROR(Fuhrpark[[#This Row],[Scope 2 PFCs '[kg PFCs']]]*IFERROR(VLOOKUP(Fuhrpark[[#This Row],[Emissionsquelle/Aktivität (Dropdown)]],GWP_100[],7,FALSE),0),0))</f>
        <v/>
      </c>
      <c r="BT121" s="15" t="str">
        <f>IF(ISBLANK(Fuhrpark[[#This Row],[Wert 
(Zahl)]]),"",IFERROR(Fuhrpark[[#This Row],[Scope 2 SF6 '[kg SF6']]]*IFERROR(VLOOKUP("SF6",GWP_100[],8,FALSE),0),0))</f>
        <v/>
      </c>
      <c r="BU121" s="15" t="str">
        <f>IF(ISBLANK(Fuhrpark[[#This Row],[Wert 
(Zahl)]]),"",IFERROR(Fuhrpark[[#This Row],[Scope 2 NF3 '[kg NF3']]]*IFERROR(VLOOKUP("NF3",GWP_100[],9,FALSE),0),0))</f>
        <v/>
      </c>
      <c r="BV121" s="15" t="str">
        <f>IF(ISBLANK(Fuhrpark[[#This Row],[Wert 
(Zahl)]]),"",IFERROR(Fuhrpark[[#This Row],[Scope 2 non-Kyoto '[kg non-Kyoto gas']]]*IFERROR(VLOOKUP(Fuhrpark[[#This Row],[Emissionsquelle/Aktivität (Dropdown)]],GWP_100[],10,FALSE),0),0))</f>
        <v/>
      </c>
    </row>
    <row r="122" spans="2:92" s="89" customFormat="1" x14ac:dyDescent="0.35">
      <c r="B122" s="604"/>
      <c r="C122" s="10" t="str">
        <f t="shared" si="3"/>
        <v>Fuhrpark</v>
      </c>
      <c r="D122" s="90"/>
      <c r="E122" s="90"/>
      <c r="F122" s="288"/>
      <c r="G122" s="10" t="str">
        <f>IFERROR(VLOOKUP(Fuhrpark[[#This Row],[Thema_Bezeichung]],EFs_Fuhrpark[],4,FALSE),"")</f>
        <v/>
      </c>
      <c r="H122" s="90"/>
      <c r="I122" s="90"/>
      <c r="J122" s="90"/>
      <c r="K122" s="90"/>
      <c r="L122" s="289" t="str">
        <f>IF(ISBLANK(Fuhrpark[[#This Row],[Wert 
(Zahl)]]),"", SUM(Fuhrpark[[#This Row],[Scope 1 CO2e '[kg CO2e']]:[Scope 3 CO2e '[kg CO2e']]]))</f>
        <v/>
      </c>
      <c r="M122" s="289" t="str">
        <f>IF(OR(ISBLANK(Fuhrpark[[#This Row],[Wert 
(Zahl)]]),Fuhrpark[[#This Row],[Emissionsquelle/Aktivität (Dropdown)]]&lt;&gt;"Strom (externes Laden, Deutschland)"),"", SUM(Fuhrpark[[#This Row],[Scope 1 CO2e '[kg CO2e']]],Fuhrpark[[#This Row],[Scope 2 CO2e market-based '[kg CO2e']]],Fuhrpark[[#This Row],[Scope 3 CO2e '[kg CO2e']]]))</f>
        <v/>
      </c>
      <c r="N122" s="408"/>
      <c r="O122" s="15" t="str">
        <f>IF(ISBLANK(Fuhrpark[[#This Row],[Emissionsquelle/Aktivität (Dropdown)]]),"",CONCATENATE(Fuhrpark[[#This Row],[Sektor_Thema]]," - ",Fuhrpark[[#This Row],[Emissionsquelle/Aktivität (Dropdown)]]))</f>
        <v/>
      </c>
      <c r="P122" s="15" t="str">
        <f>IF(ISBLANK(Fuhrpark[[#This Row],[Emissionsquelle/Aktivität (Dropdown)]]),"",AND(Fuhrpark[[#This Row],[Emissionsquelle/Aktivität (Dropdown)]]="Strom (externes laden, Deutschland)",ISNUMBER(Fuhrpark[[#This Row],[Scope-2-Emissionsfaktor Vertragsstrommix
'[g CO2e/kWh']
(falls verfügbar)]])))</f>
        <v/>
      </c>
      <c r="Q122" s="15" t="str">
        <f>IFERROR(VLOOKUP(Fuhrpark[[#This Row],[Thema_Bezeichung]],EFs_Fuhrpark[],5,FALSE),"")</f>
        <v/>
      </c>
      <c r="R122" s="15" t="str">
        <f>IFERROR(VLOOKUP(Fuhrpark[[#This Row],[Thema_Bezeichung]],EFs_Fuhrpark[],6,FALSE),"")</f>
        <v/>
      </c>
      <c r="S122" s="15" t="str">
        <f>IFERROR(VLOOKUP(Fuhrpark[[#This Row],[Thema_Bezeichung]],EFs_Fuhrpark[],7,FALSE),"")</f>
        <v/>
      </c>
      <c r="T122" s="15" t="str">
        <f>IFERROR(VLOOKUP(Fuhrpark[[#This Row],[Thema_Bezeichung]],EFs_Fuhrpark[],8,FALSE),"")</f>
        <v/>
      </c>
      <c r="U122" s="15" t="str">
        <f>IFERROR(VLOOKUP(Fuhrpark[[#This Row],[Thema_Bezeichung]],EFs_Fuhrpark[],9,FALSE),"")</f>
        <v/>
      </c>
      <c r="V122" s="15" t="str">
        <f>IFERROR(VLOOKUP(Fuhrpark[[#This Row],[Thema_Bezeichung]],EFs_Fuhrpark[],10,FALSE),"")</f>
        <v/>
      </c>
      <c r="W122" s="15" t="str">
        <f>IFERROR(VLOOKUP(Fuhrpark[[#This Row],[Thema_Bezeichung]],EFs_Fuhrpark[],11,FALSE),"")</f>
        <v/>
      </c>
      <c r="X122" s="15" t="str">
        <f>IFERROR(VLOOKUP(Fuhrpark[[#This Row],[Thema_Bezeichung]],EFs_Fuhrpark[],12,FALSE),"")</f>
        <v/>
      </c>
      <c r="Y122" s="15" t="str">
        <f>IFERROR(VLOOKUP(Fuhrpark[[#This Row],[Thema_Bezeichung]],EFs_Fuhrpark[],13,FALSE),"")</f>
        <v/>
      </c>
      <c r="Z122" s="15" t="str">
        <f>IFERROR(VLOOKUP(Fuhrpark[[#This Row],[Thema_Bezeichung]],EFs_Fuhrpark[],14,FALSE),"")</f>
        <v/>
      </c>
      <c r="AA122" s="15" t="str">
        <f>IFERROR(VLOOKUP(Fuhrpark[[#This Row],[Thema_Bezeichung]],EFs_Fuhrpark[],15,FALSE),"")</f>
        <v/>
      </c>
      <c r="AB122" s="15" t="str">
        <f>IF(Fuhrpark[[#This Row],[Vertragsstrommix angegegeben?]]=TRUE,Fuhrpark[[#This Row],[Scope-2-Emissionsfaktor Vertragsstrommix
'[g CO2e/kWh']
(falls verfügbar)]]/1000,IFERROR(VLOOKUP(Fuhrpark[[#This Row],[Thema_Bezeichung]],EFs_Fuhrpark[],15,FALSE),""))</f>
        <v/>
      </c>
      <c r="AC122" s="15" t="str">
        <f>IFERROR(VLOOKUP(Fuhrpark[[#This Row],[Thema_Bezeichung]],EFs_Fuhrpark[],16,FALSE),"")</f>
        <v/>
      </c>
      <c r="AD122" s="15" t="str">
        <f>IFERROR(VLOOKUP(Fuhrpark[[#This Row],[Thema_Bezeichung]],EFs_Fuhrpark[],17,FALSE),"")</f>
        <v/>
      </c>
      <c r="AE122" s="15" t="str">
        <f>IFERROR(VLOOKUP(Fuhrpark[[#This Row],[Thema_Bezeichung]],EFs_Fuhrpark[],18,FALSE),"")</f>
        <v/>
      </c>
      <c r="AF122" s="15" t="str">
        <f>IFERROR(VLOOKUP(Fuhrpark[[#This Row],[Thema_Bezeichung]],EFs_Fuhrpark[],19,FALSE),"")</f>
        <v/>
      </c>
      <c r="AG122" s="15" t="str">
        <f>IFERROR(VLOOKUP(Fuhrpark[[#This Row],[Thema_Bezeichung]],EFs_Fuhrpark[],20,FALSE),"")</f>
        <v/>
      </c>
      <c r="AH122" s="15" t="str">
        <f>IFERROR(VLOOKUP(Fuhrpark[[#This Row],[Thema_Bezeichung]],EFs_Fuhrpark[],21,FALSE),"")</f>
        <v/>
      </c>
      <c r="AI122" s="15" t="str">
        <f>IFERROR(VLOOKUP(Fuhrpark[[#This Row],[Thema_Bezeichung]],EFs_Fuhrpark[],22,FALSE),"")</f>
        <v/>
      </c>
      <c r="AJ122" s="15" t="str">
        <f>IFERROR(VLOOKUP(Fuhrpark[[#This Row],[Thema_Bezeichung]],EFs_Fuhrpark[],23,FALSE),"")</f>
        <v/>
      </c>
      <c r="AK122" s="15" t="str">
        <f>IFERROR(VLOOKUP(Fuhrpark[[#This Row],[Thema_Bezeichung]],EFs_Fuhrpark[],24,FALSE),"")</f>
        <v/>
      </c>
      <c r="AL122" s="15" t="str">
        <f>IFERROR(Fuhrpark[[#This Row],[Wert 
(Zahl)]]*Fuhrpark[[#This Row],[EF Scope 1 CO2e
(kg CO2e/Einheit)]],"")</f>
        <v/>
      </c>
      <c r="AM122" s="15" t="str">
        <f>IFERROR(Fuhrpark[[#This Row],[Wert 
(Zahl)]]*Fuhrpark[[#This Row],[EF Scope 2 CO2e
(kg CO2e/Einheit)]],"")</f>
        <v/>
      </c>
      <c r="AN122" s="15" t="str">
        <f>IFERROR(Fuhrpark[[#This Row],[Wert 
(Zahl)]]*Fuhrpark[[#This Row],[EF Scope 3 CO2e
(kg CO2e/Einheit)]],"")</f>
        <v/>
      </c>
      <c r="AO122" s="15" t="str">
        <f>IFERROR(Fuhrpark[[#This Row],[Wert 
(Zahl)]]*Fuhrpark[[#This Row],[EF Scope 1 CO2 biogen
(kg CO2 /Einheit)]],"")</f>
        <v/>
      </c>
      <c r="AP122" s="15" t="str">
        <f>IFERROR(Fuhrpark[[#This Row],[Wert 
(Zahl)]]*Fuhrpark[[#This Row],[Scope 2 Emissionsfaktor market-based '[kg CO2e/Einheit']]],"")</f>
        <v/>
      </c>
      <c r="AQ122" s="15" t="str">
        <f>IFERROR(Fuhrpark[[#This Row],[Wert 
(Zahl)]]*Fuhrpark[[#This Row],[EF Scope 1 CO2
(kg CO2/Einheit)]],"")</f>
        <v/>
      </c>
      <c r="AR122" s="15" t="str">
        <f>IFERROR(Fuhrpark[[#This Row],[Wert 
(Zahl)]]*Fuhrpark[[#This Row],[EF Scope 1 CH4
(kg CH4/Einheit)]],"")</f>
        <v/>
      </c>
      <c r="AS122" s="15" t="str">
        <f>IFERROR(Fuhrpark[[#This Row],[Wert 
(Zahl)]]*Fuhrpark[[#This Row],[EF Scope 1 N2O
(kg N2O/Einheit)]],"")</f>
        <v/>
      </c>
      <c r="AT122" s="15" t="str">
        <f>IFERROR(Fuhrpark[[#This Row],[Wert 
(Zahl)]]*Fuhrpark[[#This Row],[EF Scope 1 HFCs
(kg HFCs/Einheit)]],"")</f>
        <v/>
      </c>
      <c r="AU122" s="15" t="str">
        <f>IFERROR(Fuhrpark[[#This Row],[Wert 
(Zahl)]]*Fuhrpark[[#This Row],[EF Scope 1 PFCs
(kg PFCs/Einheit)]],"")</f>
        <v/>
      </c>
      <c r="AV122" s="15" t="str">
        <f>IFERROR(Fuhrpark[[#This Row],[Wert 
(Zahl)]]*Fuhrpark[[#This Row],[EF Scope 1 SF6
(kg SF6/Einheit)]],"")</f>
        <v/>
      </c>
      <c r="AW122" s="15" t="str">
        <f>IFERROR(Fuhrpark[[#This Row],[Wert 
(Zahl)]]*Fuhrpark[[#This Row],[EF Scope 1 NF3
(kg NF3/Einheit)]],"")</f>
        <v/>
      </c>
      <c r="AX122" s="15" t="str">
        <f>IFERROR(Fuhrpark[[#This Row],[Wert 
(Zahl)]]*Fuhrpark[[#This Row],[EF Scope 1 Nicht-Kyoto-Gase (kg Nicht-Kyoto-Gase/Einheit)]],"")</f>
        <v/>
      </c>
      <c r="AY122" s="15" t="str">
        <f>IFERROR(Fuhrpark[[#This Row],[Wert 
(Zahl)]]*Fuhrpark[[#This Row],[EF Scope 2 CO2
(kg CO2/Einheit)]],"")</f>
        <v/>
      </c>
      <c r="AZ122" s="15" t="str">
        <f>IFERROR(Fuhrpark[[#This Row],[Wert 
(Zahl)]]*Fuhrpark[[#This Row],[EF Scope 2 CH4
(kg CH4/Einheit)]],"")</f>
        <v/>
      </c>
      <c r="BA122" s="15" t="str">
        <f>IFERROR(Fuhrpark[[#This Row],[Wert 
(Zahl)]]*Fuhrpark[[#This Row],[EF Scope 2 N2O
(kg N2O/Einheit)]],"")</f>
        <v/>
      </c>
      <c r="BB122" s="15" t="str">
        <f>IFERROR(Fuhrpark[[#This Row],[Wert 
(Zahl)]]*Fuhrpark[[#This Row],[EF Scope 2 HFCs
(kg HFCs/Einheit)]],"")</f>
        <v/>
      </c>
      <c r="BC122" s="15" t="str">
        <f>IFERROR(Fuhrpark[[#This Row],[Wert 
(Zahl)]]*Fuhrpark[[#This Row],[EF Scope 2 PFCs
(kg PFCs/Einheit)]],"")</f>
        <v/>
      </c>
      <c r="BD122" s="15" t="str">
        <f>IFERROR(Fuhrpark[[#This Row],[Wert 
(Zahl)]]*Fuhrpark[[#This Row],[EF Scope 2 SF6
(kg SF6/Einheit)]],"")</f>
        <v/>
      </c>
      <c r="BE122" s="15" t="str">
        <f>IFERROR(Fuhrpark[[#This Row],[Wert 
(Zahl)]]*Fuhrpark[[#This Row],[EF Scope 2 NF3
(kg NF3/Einheit)]],"")</f>
        <v/>
      </c>
      <c r="BF122" s="15" t="str">
        <f>IFERROR(Fuhrpark[[#This Row],[Wert 
(Zahl)]]*Fuhrpark[[#This Row],[EF Scope 2 Nicht-Kyoto-Gase (kg Nicht-Kyoto-Gase/Einheit)]],"")</f>
        <v/>
      </c>
      <c r="BG122" s="15" t="str">
        <f>IF(ISBLANK(Fuhrpark[[#This Row],[Wert 
(Zahl)]]),"",IFERROR(Fuhrpark[[#This Row],[Scope 1 CO2 '[kg CO2']]]*IFERROR(VLOOKUP("CO2",GWP_100[],3,FALSE),0),0))</f>
        <v/>
      </c>
      <c r="BH122" s="15" t="str">
        <f>IF(ISBLANK(Fuhrpark[[#This Row],[Wert 
(Zahl)]]),"",IFERROR(Fuhrpark[[#This Row],[Scope 1 CH4 '[kg CH4']]]*IFERROR(VLOOKUP("CH4",GWP_100[],4,FALSE),0),0))</f>
        <v/>
      </c>
      <c r="BI122" s="15" t="str">
        <f>IF(ISBLANK(Fuhrpark[[#This Row],[Wert 
(Zahl)]]),"",IFERROR(Fuhrpark[[#This Row],[Scope 1 N2O '[kg N2O']]]*IFERROR(VLOOKUP("N2O",GWP_100[],5,FALSE),0),0))</f>
        <v/>
      </c>
      <c r="BJ122" s="15" t="str">
        <f>IF(ISBLANK(Fuhrpark[[#This Row],[Wert 
(Zahl)]]),"",IFERROR(Fuhrpark[[#This Row],[Scope 1 HFCs '[kg HFCs']]]*IFERROR(VLOOKUP(Fuhrpark[[#This Row],[Emissionsquelle/Aktivität (Dropdown)]],GWP_100[],6,FALSE),0),0))</f>
        <v/>
      </c>
      <c r="BK122" s="15" t="str">
        <f>IF(ISBLANK(Fuhrpark[[#This Row],[Wert 
(Zahl)]]),"",IFERROR(Fuhrpark[[#This Row],[Scope 1 PFCs '[kg PFCs']]]*IFERROR(VLOOKUP(Fuhrpark[[#This Row],[Emissionsquelle/Aktivität (Dropdown)]],GWP_100[],7,FALSE),0),0))</f>
        <v/>
      </c>
      <c r="BL122" s="15" t="str">
        <f>IF(ISBLANK(Fuhrpark[[#This Row],[Wert 
(Zahl)]]),"",IFERROR(Fuhrpark[[#This Row],[Scope 1 SF6 '[kg SF6']]]*IFERROR(VLOOKUP("SF6",GWP_100[],8,FALSE),0),0))</f>
        <v/>
      </c>
      <c r="BM122" s="15" t="str">
        <f>IF(ISBLANK(Fuhrpark[[#This Row],[Wert 
(Zahl)]]),"",IFERROR(Fuhrpark[[#This Row],[Scope 1 NF3 '[kg NF3']]]*IFERROR(VLOOKUP("NF3",GWP_100[],9,FALSE),0),0))</f>
        <v/>
      </c>
      <c r="BN122" s="15" t="str">
        <f>IF(ISBLANK(Fuhrpark[[#This Row],[Wert 
(Zahl)]]),"",IFERROR(Fuhrpark[[#This Row],[Scope 1 non-Kyoto '[kg non-Kyoto gas']]]*IFERROR(VLOOKUP(Fuhrpark[[#This Row],[Emissionsquelle/Aktivität (Dropdown)]],GWP_100[],10,FALSE),0),0))</f>
        <v/>
      </c>
      <c r="BO122" s="15" t="str">
        <f>IF(ISBLANK(Fuhrpark[[#This Row],[Wert 
(Zahl)]]),"",IFERROR(Fuhrpark[[#This Row],[Scope 2 CO2 '[kg CO2']]]*IFERROR(VLOOKUP("CO2",GWP_100[],3,FALSE),0),0))</f>
        <v/>
      </c>
      <c r="BP122" s="15" t="str">
        <f>IF(ISBLANK(Fuhrpark[[#This Row],[Wert 
(Zahl)]]),"",IFERROR(Fuhrpark[[#This Row],[Scope 2 CH4 '[kg CH4']]]*IFERROR(VLOOKUP("CH4",GWP_100[],4,FALSE),0),0))</f>
        <v/>
      </c>
      <c r="BQ122" s="15" t="str">
        <f>IF(ISBLANK(Fuhrpark[[#This Row],[Wert 
(Zahl)]]),"",IFERROR(Fuhrpark[[#This Row],[Scope 2 N2O '[kg N2O']]]*IFERROR(VLOOKUP("N2O",GWP_100[],5,FALSE),0),0))</f>
        <v/>
      </c>
      <c r="BR122" s="15" t="str">
        <f>IF(ISBLANK(Fuhrpark[[#This Row],[Wert 
(Zahl)]]),"",IFERROR(Fuhrpark[[#This Row],[Scope 2 HFCs '[kg HFCs']]]*IFERROR(VLOOKUP(Fuhrpark[[#This Row],[Emissionsquelle/Aktivität (Dropdown)]],GWP_100[],6,FALSE),0),0))</f>
        <v/>
      </c>
      <c r="BS122" s="15" t="str">
        <f>IF(ISBLANK(Fuhrpark[[#This Row],[Wert 
(Zahl)]]),"",IFERROR(Fuhrpark[[#This Row],[Scope 2 PFCs '[kg PFCs']]]*IFERROR(VLOOKUP(Fuhrpark[[#This Row],[Emissionsquelle/Aktivität (Dropdown)]],GWP_100[],7,FALSE),0),0))</f>
        <v/>
      </c>
      <c r="BT122" s="15" t="str">
        <f>IF(ISBLANK(Fuhrpark[[#This Row],[Wert 
(Zahl)]]),"",IFERROR(Fuhrpark[[#This Row],[Scope 2 SF6 '[kg SF6']]]*IFERROR(VLOOKUP("SF6",GWP_100[],8,FALSE),0),0))</f>
        <v/>
      </c>
      <c r="BU122" s="15" t="str">
        <f>IF(ISBLANK(Fuhrpark[[#This Row],[Wert 
(Zahl)]]),"",IFERROR(Fuhrpark[[#This Row],[Scope 2 NF3 '[kg NF3']]]*IFERROR(VLOOKUP("NF3",GWP_100[],9,FALSE),0),0))</f>
        <v/>
      </c>
      <c r="BV122" s="15" t="str">
        <f>IF(ISBLANK(Fuhrpark[[#This Row],[Wert 
(Zahl)]]),"",IFERROR(Fuhrpark[[#This Row],[Scope 2 non-Kyoto '[kg non-Kyoto gas']]]*IFERROR(VLOOKUP(Fuhrpark[[#This Row],[Emissionsquelle/Aktivität (Dropdown)]],GWP_100[],10,FALSE),0),0))</f>
        <v/>
      </c>
    </row>
    <row r="123" spans="2:92" s="89" customFormat="1" x14ac:dyDescent="0.35">
      <c r="B123" s="604"/>
      <c r="C123" s="10" t="str">
        <f t="shared" si="3"/>
        <v>Fuhrpark</v>
      </c>
      <c r="D123" s="90"/>
      <c r="E123" s="90"/>
      <c r="F123" s="288"/>
      <c r="G123" s="10" t="str">
        <f>IFERROR(VLOOKUP(Fuhrpark[[#This Row],[Thema_Bezeichung]],EFs_Fuhrpark[],4,FALSE),"")</f>
        <v/>
      </c>
      <c r="H123" s="90"/>
      <c r="I123" s="90"/>
      <c r="J123" s="90"/>
      <c r="K123" s="90"/>
      <c r="L123" s="289" t="str">
        <f>IF(ISBLANK(Fuhrpark[[#This Row],[Wert 
(Zahl)]]),"", SUM(Fuhrpark[[#This Row],[Scope 1 CO2e '[kg CO2e']]:[Scope 3 CO2e '[kg CO2e']]]))</f>
        <v/>
      </c>
      <c r="M123" s="289" t="str">
        <f>IF(OR(ISBLANK(Fuhrpark[[#This Row],[Wert 
(Zahl)]]),Fuhrpark[[#This Row],[Emissionsquelle/Aktivität (Dropdown)]]&lt;&gt;"Strom (externes Laden, Deutschland)"),"", SUM(Fuhrpark[[#This Row],[Scope 1 CO2e '[kg CO2e']]],Fuhrpark[[#This Row],[Scope 2 CO2e market-based '[kg CO2e']]],Fuhrpark[[#This Row],[Scope 3 CO2e '[kg CO2e']]]))</f>
        <v/>
      </c>
      <c r="N123" s="408"/>
      <c r="O123" s="15" t="str">
        <f>IF(ISBLANK(Fuhrpark[[#This Row],[Emissionsquelle/Aktivität (Dropdown)]]),"",CONCATENATE(Fuhrpark[[#This Row],[Sektor_Thema]]," - ",Fuhrpark[[#This Row],[Emissionsquelle/Aktivität (Dropdown)]]))</f>
        <v/>
      </c>
      <c r="P123" s="15" t="str">
        <f>IF(ISBLANK(Fuhrpark[[#This Row],[Emissionsquelle/Aktivität (Dropdown)]]),"",AND(Fuhrpark[[#This Row],[Emissionsquelle/Aktivität (Dropdown)]]="Strom (externes laden, Deutschland)",ISNUMBER(Fuhrpark[[#This Row],[Scope-2-Emissionsfaktor Vertragsstrommix
'[g CO2e/kWh']
(falls verfügbar)]])))</f>
        <v/>
      </c>
      <c r="Q123" s="15" t="str">
        <f>IFERROR(VLOOKUP(Fuhrpark[[#This Row],[Thema_Bezeichung]],EFs_Fuhrpark[],5,FALSE),"")</f>
        <v/>
      </c>
      <c r="R123" s="15" t="str">
        <f>IFERROR(VLOOKUP(Fuhrpark[[#This Row],[Thema_Bezeichung]],EFs_Fuhrpark[],6,FALSE),"")</f>
        <v/>
      </c>
      <c r="S123" s="15" t="str">
        <f>IFERROR(VLOOKUP(Fuhrpark[[#This Row],[Thema_Bezeichung]],EFs_Fuhrpark[],7,FALSE),"")</f>
        <v/>
      </c>
      <c r="T123" s="15" t="str">
        <f>IFERROR(VLOOKUP(Fuhrpark[[#This Row],[Thema_Bezeichung]],EFs_Fuhrpark[],8,FALSE),"")</f>
        <v/>
      </c>
      <c r="U123" s="15" t="str">
        <f>IFERROR(VLOOKUP(Fuhrpark[[#This Row],[Thema_Bezeichung]],EFs_Fuhrpark[],9,FALSE),"")</f>
        <v/>
      </c>
      <c r="V123" s="15" t="str">
        <f>IFERROR(VLOOKUP(Fuhrpark[[#This Row],[Thema_Bezeichung]],EFs_Fuhrpark[],10,FALSE),"")</f>
        <v/>
      </c>
      <c r="W123" s="15" t="str">
        <f>IFERROR(VLOOKUP(Fuhrpark[[#This Row],[Thema_Bezeichung]],EFs_Fuhrpark[],11,FALSE),"")</f>
        <v/>
      </c>
      <c r="X123" s="15" t="str">
        <f>IFERROR(VLOOKUP(Fuhrpark[[#This Row],[Thema_Bezeichung]],EFs_Fuhrpark[],12,FALSE),"")</f>
        <v/>
      </c>
      <c r="Y123" s="15" t="str">
        <f>IFERROR(VLOOKUP(Fuhrpark[[#This Row],[Thema_Bezeichung]],EFs_Fuhrpark[],13,FALSE),"")</f>
        <v/>
      </c>
      <c r="Z123" s="15" t="str">
        <f>IFERROR(VLOOKUP(Fuhrpark[[#This Row],[Thema_Bezeichung]],EFs_Fuhrpark[],14,FALSE),"")</f>
        <v/>
      </c>
      <c r="AA123" s="15" t="str">
        <f>IFERROR(VLOOKUP(Fuhrpark[[#This Row],[Thema_Bezeichung]],EFs_Fuhrpark[],15,FALSE),"")</f>
        <v/>
      </c>
      <c r="AB123" s="15" t="str">
        <f>IF(Fuhrpark[[#This Row],[Vertragsstrommix angegegeben?]]=TRUE,Fuhrpark[[#This Row],[Scope-2-Emissionsfaktor Vertragsstrommix
'[g CO2e/kWh']
(falls verfügbar)]]/1000,IFERROR(VLOOKUP(Fuhrpark[[#This Row],[Thema_Bezeichung]],EFs_Fuhrpark[],15,FALSE),""))</f>
        <v/>
      </c>
      <c r="AC123" s="15" t="str">
        <f>IFERROR(VLOOKUP(Fuhrpark[[#This Row],[Thema_Bezeichung]],EFs_Fuhrpark[],16,FALSE),"")</f>
        <v/>
      </c>
      <c r="AD123" s="15" t="str">
        <f>IFERROR(VLOOKUP(Fuhrpark[[#This Row],[Thema_Bezeichung]],EFs_Fuhrpark[],17,FALSE),"")</f>
        <v/>
      </c>
      <c r="AE123" s="15" t="str">
        <f>IFERROR(VLOOKUP(Fuhrpark[[#This Row],[Thema_Bezeichung]],EFs_Fuhrpark[],18,FALSE),"")</f>
        <v/>
      </c>
      <c r="AF123" s="15" t="str">
        <f>IFERROR(VLOOKUP(Fuhrpark[[#This Row],[Thema_Bezeichung]],EFs_Fuhrpark[],19,FALSE),"")</f>
        <v/>
      </c>
      <c r="AG123" s="15" t="str">
        <f>IFERROR(VLOOKUP(Fuhrpark[[#This Row],[Thema_Bezeichung]],EFs_Fuhrpark[],20,FALSE),"")</f>
        <v/>
      </c>
      <c r="AH123" s="15" t="str">
        <f>IFERROR(VLOOKUP(Fuhrpark[[#This Row],[Thema_Bezeichung]],EFs_Fuhrpark[],21,FALSE),"")</f>
        <v/>
      </c>
      <c r="AI123" s="15" t="str">
        <f>IFERROR(VLOOKUP(Fuhrpark[[#This Row],[Thema_Bezeichung]],EFs_Fuhrpark[],22,FALSE),"")</f>
        <v/>
      </c>
      <c r="AJ123" s="15" t="str">
        <f>IFERROR(VLOOKUP(Fuhrpark[[#This Row],[Thema_Bezeichung]],EFs_Fuhrpark[],23,FALSE),"")</f>
        <v/>
      </c>
      <c r="AK123" s="15" t="str">
        <f>IFERROR(VLOOKUP(Fuhrpark[[#This Row],[Thema_Bezeichung]],EFs_Fuhrpark[],24,FALSE),"")</f>
        <v/>
      </c>
      <c r="AL123" s="15" t="str">
        <f>IFERROR(Fuhrpark[[#This Row],[Wert 
(Zahl)]]*Fuhrpark[[#This Row],[EF Scope 1 CO2e
(kg CO2e/Einheit)]],"")</f>
        <v/>
      </c>
      <c r="AM123" s="15" t="str">
        <f>IFERROR(Fuhrpark[[#This Row],[Wert 
(Zahl)]]*Fuhrpark[[#This Row],[EF Scope 2 CO2e
(kg CO2e/Einheit)]],"")</f>
        <v/>
      </c>
      <c r="AN123" s="15" t="str">
        <f>IFERROR(Fuhrpark[[#This Row],[Wert 
(Zahl)]]*Fuhrpark[[#This Row],[EF Scope 3 CO2e
(kg CO2e/Einheit)]],"")</f>
        <v/>
      </c>
      <c r="AO123" s="15" t="str">
        <f>IFERROR(Fuhrpark[[#This Row],[Wert 
(Zahl)]]*Fuhrpark[[#This Row],[EF Scope 1 CO2 biogen
(kg CO2 /Einheit)]],"")</f>
        <v/>
      </c>
      <c r="AP123" s="15" t="str">
        <f>IFERROR(Fuhrpark[[#This Row],[Wert 
(Zahl)]]*Fuhrpark[[#This Row],[Scope 2 Emissionsfaktor market-based '[kg CO2e/Einheit']]],"")</f>
        <v/>
      </c>
      <c r="AQ123" s="15" t="str">
        <f>IFERROR(Fuhrpark[[#This Row],[Wert 
(Zahl)]]*Fuhrpark[[#This Row],[EF Scope 1 CO2
(kg CO2/Einheit)]],"")</f>
        <v/>
      </c>
      <c r="AR123" s="15" t="str">
        <f>IFERROR(Fuhrpark[[#This Row],[Wert 
(Zahl)]]*Fuhrpark[[#This Row],[EF Scope 1 CH4
(kg CH4/Einheit)]],"")</f>
        <v/>
      </c>
      <c r="AS123" s="15" t="str">
        <f>IFERROR(Fuhrpark[[#This Row],[Wert 
(Zahl)]]*Fuhrpark[[#This Row],[EF Scope 1 N2O
(kg N2O/Einheit)]],"")</f>
        <v/>
      </c>
      <c r="AT123" s="15" t="str">
        <f>IFERROR(Fuhrpark[[#This Row],[Wert 
(Zahl)]]*Fuhrpark[[#This Row],[EF Scope 1 HFCs
(kg HFCs/Einheit)]],"")</f>
        <v/>
      </c>
      <c r="AU123" s="15" t="str">
        <f>IFERROR(Fuhrpark[[#This Row],[Wert 
(Zahl)]]*Fuhrpark[[#This Row],[EF Scope 1 PFCs
(kg PFCs/Einheit)]],"")</f>
        <v/>
      </c>
      <c r="AV123" s="15" t="str">
        <f>IFERROR(Fuhrpark[[#This Row],[Wert 
(Zahl)]]*Fuhrpark[[#This Row],[EF Scope 1 SF6
(kg SF6/Einheit)]],"")</f>
        <v/>
      </c>
      <c r="AW123" s="15" t="str">
        <f>IFERROR(Fuhrpark[[#This Row],[Wert 
(Zahl)]]*Fuhrpark[[#This Row],[EF Scope 1 NF3
(kg NF3/Einheit)]],"")</f>
        <v/>
      </c>
      <c r="AX123" s="15" t="str">
        <f>IFERROR(Fuhrpark[[#This Row],[Wert 
(Zahl)]]*Fuhrpark[[#This Row],[EF Scope 1 Nicht-Kyoto-Gase (kg Nicht-Kyoto-Gase/Einheit)]],"")</f>
        <v/>
      </c>
      <c r="AY123" s="15" t="str">
        <f>IFERROR(Fuhrpark[[#This Row],[Wert 
(Zahl)]]*Fuhrpark[[#This Row],[EF Scope 2 CO2
(kg CO2/Einheit)]],"")</f>
        <v/>
      </c>
      <c r="AZ123" s="15" t="str">
        <f>IFERROR(Fuhrpark[[#This Row],[Wert 
(Zahl)]]*Fuhrpark[[#This Row],[EF Scope 2 CH4
(kg CH4/Einheit)]],"")</f>
        <v/>
      </c>
      <c r="BA123" s="15" t="str">
        <f>IFERROR(Fuhrpark[[#This Row],[Wert 
(Zahl)]]*Fuhrpark[[#This Row],[EF Scope 2 N2O
(kg N2O/Einheit)]],"")</f>
        <v/>
      </c>
      <c r="BB123" s="15" t="str">
        <f>IFERROR(Fuhrpark[[#This Row],[Wert 
(Zahl)]]*Fuhrpark[[#This Row],[EF Scope 2 HFCs
(kg HFCs/Einheit)]],"")</f>
        <v/>
      </c>
      <c r="BC123" s="15" t="str">
        <f>IFERROR(Fuhrpark[[#This Row],[Wert 
(Zahl)]]*Fuhrpark[[#This Row],[EF Scope 2 PFCs
(kg PFCs/Einheit)]],"")</f>
        <v/>
      </c>
      <c r="BD123" s="15" t="str">
        <f>IFERROR(Fuhrpark[[#This Row],[Wert 
(Zahl)]]*Fuhrpark[[#This Row],[EF Scope 2 SF6
(kg SF6/Einheit)]],"")</f>
        <v/>
      </c>
      <c r="BE123" s="15" t="str">
        <f>IFERROR(Fuhrpark[[#This Row],[Wert 
(Zahl)]]*Fuhrpark[[#This Row],[EF Scope 2 NF3
(kg NF3/Einheit)]],"")</f>
        <v/>
      </c>
      <c r="BF123" s="15" t="str">
        <f>IFERROR(Fuhrpark[[#This Row],[Wert 
(Zahl)]]*Fuhrpark[[#This Row],[EF Scope 2 Nicht-Kyoto-Gase (kg Nicht-Kyoto-Gase/Einheit)]],"")</f>
        <v/>
      </c>
      <c r="BG123" s="15" t="str">
        <f>IF(ISBLANK(Fuhrpark[[#This Row],[Wert 
(Zahl)]]),"",IFERROR(Fuhrpark[[#This Row],[Scope 1 CO2 '[kg CO2']]]*IFERROR(VLOOKUP("CO2",GWP_100[],3,FALSE),0),0))</f>
        <v/>
      </c>
      <c r="BH123" s="15" t="str">
        <f>IF(ISBLANK(Fuhrpark[[#This Row],[Wert 
(Zahl)]]),"",IFERROR(Fuhrpark[[#This Row],[Scope 1 CH4 '[kg CH4']]]*IFERROR(VLOOKUP("CH4",GWP_100[],4,FALSE),0),0))</f>
        <v/>
      </c>
      <c r="BI123" s="15" t="str">
        <f>IF(ISBLANK(Fuhrpark[[#This Row],[Wert 
(Zahl)]]),"",IFERROR(Fuhrpark[[#This Row],[Scope 1 N2O '[kg N2O']]]*IFERROR(VLOOKUP("N2O",GWP_100[],5,FALSE),0),0))</f>
        <v/>
      </c>
      <c r="BJ123" s="15" t="str">
        <f>IF(ISBLANK(Fuhrpark[[#This Row],[Wert 
(Zahl)]]),"",IFERROR(Fuhrpark[[#This Row],[Scope 1 HFCs '[kg HFCs']]]*IFERROR(VLOOKUP(Fuhrpark[[#This Row],[Emissionsquelle/Aktivität (Dropdown)]],GWP_100[],6,FALSE),0),0))</f>
        <v/>
      </c>
      <c r="BK123" s="15" t="str">
        <f>IF(ISBLANK(Fuhrpark[[#This Row],[Wert 
(Zahl)]]),"",IFERROR(Fuhrpark[[#This Row],[Scope 1 PFCs '[kg PFCs']]]*IFERROR(VLOOKUP(Fuhrpark[[#This Row],[Emissionsquelle/Aktivität (Dropdown)]],GWP_100[],7,FALSE),0),0))</f>
        <v/>
      </c>
      <c r="BL123" s="15" t="str">
        <f>IF(ISBLANK(Fuhrpark[[#This Row],[Wert 
(Zahl)]]),"",IFERROR(Fuhrpark[[#This Row],[Scope 1 SF6 '[kg SF6']]]*IFERROR(VLOOKUP("SF6",GWP_100[],8,FALSE),0),0))</f>
        <v/>
      </c>
      <c r="BM123" s="15" t="str">
        <f>IF(ISBLANK(Fuhrpark[[#This Row],[Wert 
(Zahl)]]),"",IFERROR(Fuhrpark[[#This Row],[Scope 1 NF3 '[kg NF3']]]*IFERROR(VLOOKUP("NF3",GWP_100[],9,FALSE),0),0))</f>
        <v/>
      </c>
      <c r="BN123" s="15" t="str">
        <f>IF(ISBLANK(Fuhrpark[[#This Row],[Wert 
(Zahl)]]),"",IFERROR(Fuhrpark[[#This Row],[Scope 1 non-Kyoto '[kg non-Kyoto gas']]]*IFERROR(VLOOKUP(Fuhrpark[[#This Row],[Emissionsquelle/Aktivität (Dropdown)]],GWP_100[],10,FALSE),0),0))</f>
        <v/>
      </c>
      <c r="BO123" s="15" t="str">
        <f>IF(ISBLANK(Fuhrpark[[#This Row],[Wert 
(Zahl)]]),"",IFERROR(Fuhrpark[[#This Row],[Scope 2 CO2 '[kg CO2']]]*IFERROR(VLOOKUP("CO2",GWP_100[],3,FALSE),0),0))</f>
        <v/>
      </c>
      <c r="BP123" s="15" t="str">
        <f>IF(ISBLANK(Fuhrpark[[#This Row],[Wert 
(Zahl)]]),"",IFERROR(Fuhrpark[[#This Row],[Scope 2 CH4 '[kg CH4']]]*IFERROR(VLOOKUP("CH4",GWP_100[],4,FALSE),0),0))</f>
        <v/>
      </c>
      <c r="BQ123" s="15" t="str">
        <f>IF(ISBLANK(Fuhrpark[[#This Row],[Wert 
(Zahl)]]),"",IFERROR(Fuhrpark[[#This Row],[Scope 2 N2O '[kg N2O']]]*IFERROR(VLOOKUP("N2O",GWP_100[],5,FALSE),0),0))</f>
        <v/>
      </c>
      <c r="BR123" s="15" t="str">
        <f>IF(ISBLANK(Fuhrpark[[#This Row],[Wert 
(Zahl)]]),"",IFERROR(Fuhrpark[[#This Row],[Scope 2 HFCs '[kg HFCs']]]*IFERROR(VLOOKUP(Fuhrpark[[#This Row],[Emissionsquelle/Aktivität (Dropdown)]],GWP_100[],6,FALSE),0),0))</f>
        <v/>
      </c>
      <c r="BS123" s="15" t="str">
        <f>IF(ISBLANK(Fuhrpark[[#This Row],[Wert 
(Zahl)]]),"",IFERROR(Fuhrpark[[#This Row],[Scope 2 PFCs '[kg PFCs']]]*IFERROR(VLOOKUP(Fuhrpark[[#This Row],[Emissionsquelle/Aktivität (Dropdown)]],GWP_100[],7,FALSE),0),0))</f>
        <v/>
      </c>
      <c r="BT123" s="15" t="str">
        <f>IF(ISBLANK(Fuhrpark[[#This Row],[Wert 
(Zahl)]]),"",IFERROR(Fuhrpark[[#This Row],[Scope 2 SF6 '[kg SF6']]]*IFERROR(VLOOKUP("SF6",GWP_100[],8,FALSE),0),0))</f>
        <v/>
      </c>
      <c r="BU123" s="15" t="str">
        <f>IF(ISBLANK(Fuhrpark[[#This Row],[Wert 
(Zahl)]]),"",IFERROR(Fuhrpark[[#This Row],[Scope 2 NF3 '[kg NF3']]]*IFERROR(VLOOKUP("NF3",GWP_100[],9,FALSE),0),0))</f>
        <v/>
      </c>
      <c r="BV123" s="15" t="str">
        <f>IF(ISBLANK(Fuhrpark[[#This Row],[Wert 
(Zahl)]]),"",IFERROR(Fuhrpark[[#This Row],[Scope 2 non-Kyoto '[kg non-Kyoto gas']]]*IFERROR(VLOOKUP(Fuhrpark[[#This Row],[Emissionsquelle/Aktivität (Dropdown)]],GWP_100[],10,FALSE),0),0))</f>
        <v/>
      </c>
    </row>
    <row r="124" spans="2:92" s="89" customFormat="1" x14ac:dyDescent="0.35">
      <c r="B124" s="604"/>
      <c r="C124" s="10" t="str">
        <f t="shared" si="3"/>
        <v>Fuhrpark</v>
      </c>
      <c r="D124" s="90"/>
      <c r="E124" s="90"/>
      <c r="F124" s="288"/>
      <c r="G124" s="10" t="str">
        <f>IFERROR(VLOOKUP(Fuhrpark[[#This Row],[Thema_Bezeichung]],EFs_Fuhrpark[],4,FALSE),"")</f>
        <v/>
      </c>
      <c r="H124" s="90"/>
      <c r="I124" s="90"/>
      <c r="J124" s="90"/>
      <c r="K124" s="90"/>
      <c r="L124" s="289" t="str">
        <f>IF(ISBLANK(Fuhrpark[[#This Row],[Wert 
(Zahl)]]),"", SUM(Fuhrpark[[#This Row],[Scope 1 CO2e '[kg CO2e']]:[Scope 3 CO2e '[kg CO2e']]]))</f>
        <v/>
      </c>
      <c r="M124" s="289" t="str">
        <f>IF(OR(ISBLANK(Fuhrpark[[#This Row],[Wert 
(Zahl)]]),Fuhrpark[[#This Row],[Emissionsquelle/Aktivität (Dropdown)]]&lt;&gt;"Strom (externes Laden, Deutschland)"),"", SUM(Fuhrpark[[#This Row],[Scope 1 CO2e '[kg CO2e']]],Fuhrpark[[#This Row],[Scope 2 CO2e market-based '[kg CO2e']]],Fuhrpark[[#This Row],[Scope 3 CO2e '[kg CO2e']]]))</f>
        <v/>
      </c>
      <c r="N124" s="408"/>
      <c r="O124" s="15" t="str">
        <f>IF(ISBLANK(Fuhrpark[[#This Row],[Emissionsquelle/Aktivität (Dropdown)]]),"",CONCATENATE(Fuhrpark[[#This Row],[Sektor_Thema]]," - ",Fuhrpark[[#This Row],[Emissionsquelle/Aktivität (Dropdown)]]))</f>
        <v/>
      </c>
      <c r="P124" s="15" t="str">
        <f>IF(ISBLANK(Fuhrpark[[#This Row],[Emissionsquelle/Aktivität (Dropdown)]]),"",AND(Fuhrpark[[#This Row],[Emissionsquelle/Aktivität (Dropdown)]]="Strom (externes laden, Deutschland)",ISNUMBER(Fuhrpark[[#This Row],[Scope-2-Emissionsfaktor Vertragsstrommix
'[g CO2e/kWh']
(falls verfügbar)]])))</f>
        <v/>
      </c>
      <c r="Q124" s="15" t="str">
        <f>IFERROR(VLOOKUP(Fuhrpark[[#This Row],[Thema_Bezeichung]],EFs_Fuhrpark[],5,FALSE),"")</f>
        <v/>
      </c>
      <c r="R124" s="15" t="str">
        <f>IFERROR(VLOOKUP(Fuhrpark[[#This Row],[Thema_Bezeichung]],EFs_Fuhrpark[],6,FALSE),"")</f>
        <v/>
      </c>
      <c r="S124" s="15" t="str">
        <f>IFERROR(VLOOKUP(Fuhrpark[[#This Row],[Thema_Bezeichung]],EFs_Fuhrpark[],7,FALSE),"")</f>
        <v/>
      </c>
      <c r="T124" s="15" t="str">
        <f>IFERROR(VLOOKUP(Fuhrpark[[#This Row],[Thema_Bezeichung]],EFs_Fuhrpark[],8,FALSE),"")</f>
        <v/>
      </c>
      <c r="U124" s="15" t="str">
        <f>IFERROR(VLOOKUP(Fuhrpark[[#This Row],[Thema_Bezeichung]],EFs_Fuhrpark[],9,FALSE),"")</f>
        <v/>
      </c>
      <c r="V124" s="15" t="str">
        <f>IFERROR(VLOOKUP(Fuhrpark[[#This Row],[Thema_Bezeichung]],EFs_Fuhrpark[],10,FALSE),"")</f>
        <v/>
      </c>
      <c r="W124" s="15" t="str">
        <f>IFERROR(VLOOKUP(Fuhrpark[[#This Row],[Thema_Bezeichung]],EFs_Fuhrpark[],11,FALSE),"")</f>
        <v/>
      </c>
      <c r="X124" s="15" t="str">
        <f>IFERROR(VLOOKUP(Fuhrpark[[#This Row],[Thema_Bezeichung]],EFs_Fuhrpark[],12,FALSE),"")</f>
        <v/>
      </c>
      <c r="Y124" s="15" t="str">
        <f>IFERROR(VLOOKUP(Fuhrpark[[#This Row],[Thema_Bezeichung]],EFs_Fuhrpark[],13,FALSE),"")</f>
        <v/>
      </c>
      <c r="Z124" s="15" t="str">
        <f>IFERROR(VLOOKUP(Fuhrpark[[#This Row],[Thema_Bezeichung]],EFs_Fuhrpark[],14,FALSE),"")</f>
        <v/>
      </c>
      <c r="AA124" s="15" t="str">
        <f>IFERROR(VLOOKUP(Fuhrpark[[#This Row],[Thema_Bezeichung]],EFs_Fuhrpark[],15,FALSE),"")</f>
        <v/>
      </c>
      <c r="AB124" s="15" t="str">
        <f>IF(Fuhrpark[[#This Row],[Vertragsstrommix angegegeben?]]=TRUE,Fuhrpark[[#This Row],[Scope-2-Emissionsfaktor Vertragsstrommix
'[g CO2e/kWh']
(falls verfügbar)]]/1000,IFERROR(VLOOKUP(Fuhrpark[[#This Row],[Thema_Bezeichung]],EFs_Fuhrpark[],15,FALSE),""))</f>
        <v/>
      </c>
      <c r="AC124" s="15" t="str">
        <f>IFERROR(VLOOKUP(Fuhrpark[[#This Row],[Thema_Bezeichung]],EFs_Fuhrpark[],16,FALSE),"")</f>
        <v/>
      </c>
      <c r="AD124" s="15" t="str">
        <f>IFERROR(VLOOKUP(Fuhrpark[[#This Row],[Thema_Bezeichung]],EFs_Fuhrpark[],17,FALSE),"")</f>
        <v/>
      </c>
      <c r="AE124" s="15" t="str">
        <f>IFERROR(VLOOKUP(Fuhrpark[[#This Row],[Thema_Bezeichung]],EFs_Fuhrpark[],18,FALSE),"")</f>
        <v/>
      </c>
      <c r="AF124" s="15" t="str">
        <f>IFERROR(VLOOKUP(Fuhrpark[[#This Row],[Thema_Bezeichung]],EFs_Fuhrpark[],19,FALSE),"")</f>
        <v/>
      </c>
      <c r="AG124" s="15" t="str">
        <f>IFERROR(VLOOKUP(Fuhrpark[[#This Row],[Thema_Bezeichung]],EFs_Fuhrpark[],20,FALSE),"")</f>
        <v/>
      </c>
      <c r="AH124" s="15" t="str">
        <f>IFERROR(VLOOKUP(Fuhrpark[[#This Row],[Thema_Bezeichung]],EFs_Fuhrpark[],21,FALSE),"")</f>
        <v/>
      </c>
      <c r="AI124" s="15" t="str">
        <f>IFERROR(VLOOKUP(Fuhrpark[[#This Row],[Thema_Bezeichung]],EFs_Fuhrpark[],22,FALSE),"")</f>
        <v/>
      </c>
      <c r="AJ124" s="15" t="str">
        <f>IFERROR(VLOOKUP(Fuhrpark[[#This Row],[Thema_Bezeichung]],EFs_Fuhrpark[],23,FALSE),"")</f>
        <v/>
      </c>
      <c r="AK124" s="15" t="str">
        <f>IFERROR(VLOOKUP(Fuhrpark[[#This Row],[Thema_Bezeichung]],EFs_Fuhrpark[],24,FALSE),"")</f>
        <v/>
      </c>
      <c r="AL124" s="15" t="str">
        <f>IFERROR(Fuhrpark[[#This Row],[Wert 
(Zahl)]]*Fuhrpark[[#This Row],[EF Scope 1 CO2e
(kg CO2e/Einheit)]],"")</f>
        <v/>
      </c>
      <c r="AM124" s="15" t="str">
        <f>IFERROR(Fuhrpark[[#This Row],[Wert 
(Zahl)]]*Fuhrpark[[#This Row],[EF Scope 2 CO2e
(kg CO2e/Einheit)]],"")</f>
        <v/>
      </c>
      <c r="AN124" s="15" t="str">
        <f>IFERROR(Fuhrpark[[#This Row],[Wert 
(Zahl)]]*Fuhrpark[[#This Row],[EF Scope 3 CO2e
(kg CO2e/Einheit)]],"")</f>
        <v/>
      </c>
      <c r="AO124" s="15" t="str">
        <f>IFERROR(Fuhrpark[[#This Row],[Wert 
(Zahl)]]*Fuhrpark[[#This Row],[EF Scope 1 CO2 biogen
(kg CO2 /Einheit)]],"")</f>
        <v/>
      </c>
      <c r="AP124" s="15" t="str">
        <f>IFERROR(Fuhrpark[[#This Row],[Wert 
(Zahl)]]*Fuhrpark[[#This Row],[Scope 2 Emissionsfaktor market-based '[kg CO2e/Einheit']]],"")</f>
        <v/>
      </c>
      <c r="AQ124" s="15" t="str">
        <f>IFERROR(Fuhrpark[[#This Row],[Wert 
(Zahl)]]*Fuhrpark[[#This Row],[EF Scope 1 CO2
(kg CO2/Einheit)]],"")</f>
        <v/>
      </c>
      <c r="AR124" s="15" t="str">
        <f>IFERROR(Fuhrpark[[#This Row],[Wert 
(Zahl)]]*Fuhrpark[[#This Row],[EF Scope 1 CH4
(kg CH4/Einheit)]],"")</f>
        <v/>
      </c>
      <c r="AS124" s="15" t="str">
        <f>IFERROR(Fuhrpark[[#This Row],[Wert 
(Zahl)]]*Fuhrpark[[#This Row],[EF Scope 1 N2O
(kg N2O/Einheit)]],"")</f>
        <v/>
      </c>
      <c r="AT124" s="15" t="str">
        <f>IFERROR(Fuhrpark[[#This Row],[Wert 
(Zahl)]]*Fuhrpark[[#This Row],[EF Scope 1 HFCs
(kg HFCs/Einheit)]],"")</f>
        <v/>
      </c>
      <c r="AU124" s="15" t="str">
        <f>IFERROR(Fuhrpark[[#This Row],[Wert 
(Zahl)]]*Fuhrpark[[#This Row],[EF Scope 1 PFCs
(kg PFCs/Einheit)]],"")</f>
        <v/>
      </c>
      <c r="AV124" s="15" t="str">
        <f>IFERROR(Fuhrpark[[#This Row],[Wert 
(Zahl)]]*Fuhrpark[[#This Row],[EF Scope 1 SF6
(kg SF6/Einheit)]],"")</f>
        <v/>
      </c>
      <c r="AW124" s="15" t="str">
        <f>IFERROR(Fuhrpark[[#This Row],[Wert 
(Zahl)]]*Fuhrpark[[#This Row],[EF Scope 1 NF3
(kg NF3/Einheit)]],"")</f>
        <v/>
      </c>
      <c r="AX124" s="15" t="str">
        <f>IFERROR(Fuhrpark[[#This Row],[Wert 
(Zahl)]]*Fuhrpark[[#This Row],[EF Scope 1 Nicht-Kyoto-Gase (kg Nicht-Kyoto-Gase/Einheit)]],"")</f>
        <v/>
      </c>
      <c r="AY124" s="15" t="str">
        <f>IFERROR(Fuhrpark[[#This Row],[Wert 
(Zahl)]]*Fuhrpark[[#This Row],[EF Scope 2 CO2
(kg CO2/Einheit)]],"")</f>
        <v/>
      </c>
      <c r="AZ124" s="15" t="str">
        <f>IFERROR(Fuhrpark[[#This Row],[Wert 
(Zahl)]]*Fuhrpark[[#This Row],[EF Scope 2 CH4
(kg CH4/Einheit)]],"")</f>
        <v/>
      </c>
      <c r="BA124" s="15" t="str">
        <f>IFERROR(Fuhrpark[[#This Row],[Wert 
(Zahl)]]*Fuhrpark[[#This Row],[EF Scope 2 N2O
(kg N2O/Einheit)]],"")</f>
        <v/>
      </c>
      <c r="BB124" s="15" t="str">
        <f>IFERROR(Fuhrpark[[#This Row],[Wert 
(Zahl)]]*Fuhrpark[[#This Row],[EF Scope 2 HFCs
(kg HFCs/Einheit)]],"")</f>
        <v/>
      </c>
      <c r="BC124" s="15" t="str">
        <f>IFERROR(Fuhrpark[[#This Row],[Wert 
(Zahl)]]*Fuhrpark[[#This Row],[EF Scope 2 PFCs
(kg PFCs/Einheit)]],"")</f>
        <v/>
      </c>
      <c r="BD124" s="15" t="str">
        <f>IFERROR(Fuhrpark[[#This Row],[Wert 
(Zahl)]]*Fuhrpark[[#This Row],[EF Scope 2 SF6
(kg SF6/Einheit)]],"")</f>
        <v/>
      </c>
      <c r="BE124" s="15" t="str">
        <f>IFERROR(Fuhrpark[[#This Row],[Wert 
(Zahl)]]*Fuhrpark[[#This Row],[EF Scope 2 NF3
(kg NF3/Einheit)]],"")</f>
        <v/>
      </c>
      <c r="BF124" s="15" t="str">
        <f>IFERROR(Fuhrpark[[#This Row],[Wert 
(Zahl)]]*Fuhrpark[[#This Row],[EF Scope 2 Nicht-Kyoto-Gase (kg Nicht-Kyoto-Gase/Einheit)]],"")</f>
        <v/>
      </c>
      <c r="BG124" s="15" t="str">
        <f>IF(ISBLANK(Fuhrpark[[#This Row],[Wert 
(Zahl)]]),"",IFERROR(Fuhrpark[[#This Row],[Scope 1 CO2 '[kg CO2']]]*IFERROR(VLOOKUP("CO2",GWP_100[],3,FALSE),0),0))</f>
        <v/>
      </c>
      <c r="BH124" s="15" t="str">
        <f>IF(ISBLANK(Fuhrpark[[#This Row],[Wert 
(Zahl)]]),"",IFERROR(Fuhrpark[[#This Row],[Scope 1 CH4 '[kg CH4']]]*IFERROR(VLOOKUP("CH4",GWP_100[],4,FALSE),0),0))</f>
        <v/>
      </c>
      <c r="BI124" s="15" t="str">
        <f>IF(ISBLANK(Fuhrpark[[#This Row],[Wert 
(Zahl)]]),"",IFERROR(Fuhrpark[[#This Row],[Scope 1 N2O '[kg N2O']]]*IFERROR(VLOOKUP("N2O",GWP_100[],5,FALSE),0),0))</f>
        <v/>
      </c>
      <c r="BJ124" s="15" t="str">
        <f>IF(ISBLANK(Fuhrpark[[#This Row],[Wert 
(Zahl)]]),"",IFERROR(Fuhrpark[[#This Row],[Scope 1 HFCs '[kg HFCs']]]*IFERROR(VLOOKUP(Fuhrpark[[#This Row],[Emissionsquelle/Aktivität (Dropdown)]],GWP_100[],6,FALSE),0),0))</f>
        <v/>
      </c>
      <c r="BK124" s="15" t="str">
        <f>IF(ISBLANK(Fuhrpark[[#This Row],[Wert 
(Zahl)]]),"",IFERROR(Fuhrpark[[#This Row],[Scope 1 PFCs '[kg PFCs']]]*IFERROR(VLOOKUP(Fuhrpark[[#This Row],[Emissionsquelle/Aktivität (Dropdown)]],GWP_100[],7,FALSE),0),0))</f>
        <v/>
      </c>
      <c r="BL124" s="15" t="str">
        <f>IF(ISBLANK(Fuhrpark[[#This Row],[Wert 
(Zahl)]]),"",IFERROR(Fuhrpark[[#This Row],[Scope 1 SF6 '[kg SF6']]]*IFERROR(VLOOKUP("SF6",GWP_100[],8,FALSE),0),0))</f>
        <v/>
      </c>
      <c r="BM124" s="15" t="str">
        <f>IF(ISBLANK(Fuhrpark[[#This Row],[Wert 
(Zahl)]]),"",IFERROR(Fuhrpark[[#This Row],[Scope 1 NF3 '[kg NF3']]]*IFERROR(VLOOKUP("NF3",GWP_100[],9,FALSE),0),0))</f>
        <v/>
      </c>
      <c r="BN124" s="15" t="str">
        <f>IF(ISBLANK(Fuhrpark[[#This Row],[Wert 
(Zahl)]]),"",IFERROR(Fuhrpark[[#This Row],[Scope 1 non-Kyoto '[kg non-Kyoto gas']]]*IFERROR(VLOOKUP(Fuhrpark[[#This Row],[Emissionsquelle/Aktivität (Dropdown)]],GWP_100[],10,FALSE),0),0))</f>
        <v/>
      </c>
      <c r="BO124" s="15" t="str">
        <f>IF(ISBLANK(Fuhrpark[[#This Row],[Wert 
(Zahl)]]),"",IFERROR(Fuhrpark[[#This Row],[Scope 2 CO2 '[kg CO2']]]*IFERROR(VLOOKUP("CO2",GWP_100[],3,FALSE),0),0))</f>
        <v/>
      </c>
      <c r="BP124" s="15" t="str">
        <f>IF(ISBLANK(Fuhrpark[[#This Row],[Wert 
(Zahl)]]),"",IFERROR(Fuhrpark[[#This Row],[Scope 2 CH4 '[kg CH4']]]*IFERROR(VLOOKUP("CH4",GWP_100[],4,FALSE),0),0))</f>
        <v/>
      </c>
      <c r="BQ124" s="15" t="str">
        <f>IF(ISBLANK(Fuhrpark[[#This Row],[Wert 
(Zahl)]]),"",IFERROR(Fuhrpark[[#This Row],[Scope 2 N2O '[kg N2O']]]*IFERROR(VLOOKUP("N2O",GWP_100[],5,FALSE),0),0))</f>
        <v/>
      </c>
      <c r="BR124" s="15" t="str">
        <f>IF(ISBLANK(Fuhrpark[[#This Row],[Wert 
(Zahl)]]),"",IFERROR(Fuhrpark[[#This Row],[Scope 2 HFCs '[kg HFCs']]]*IFERROR(VLOOKUP(Fuhrpark[[#This Row],[Emissionsquelle/Aktivität (Dropdown)]],GWP_100[],6,FALSE),0),0))</f>
        <v/>
      </c>
      <c r="BS124" s="15" t="str">
        <f>IF(ISBLANK(Fuhrpark[[#This Row],[Wert 
(Zahl)]]),"",IFERROR(Fuhrpark[[#This Row],[Scope 2 PFCs '[kg PFCs']]]*IFERROR(VLOOKUP(Fuhrpark[[#This Row],[Emissionsquelle/Aktivität (Dropdown)]],GWP_100[],7,FALSE),0),0))</f>
        <v/>
      </c>
      <c r="BT124" s="15" t="str">
        <f>IF(ISBLANK(Fuhrpark[[#This Row],[Wert 
(Zahl)]]),"",IFERROR(Fuhrpark[[#This Row],[Scope 2 SF6 '[kg SF6']]]*IFERROR(VLOOKUP("SF6",GWP_100[],8,FALSE),0),0))</f>
        <v/>
      </c>
      <c r="BU124" s="15" t="str">
        <f>IF(ISBLANK(Fuhrpark[[#This Row],[Wert 
(Zahl)]]),"",IFERROR(Fuhrpark[[#This Row],[Scope 2 NF3 '[kg NF3']]]*IFERROR(VLOOKUP("NF3",GWP_100[],9,FALSE),0),0))</f>
        <v/>
      </c>
      <c r="BV124" s="15" t="str">
        <f>IF(ISBLANK(Fuhrpark[[#This Row],[Wert 
(Zahl)]]),"",IFERROR(Fuhrpark[[#This Row],[Scope 2 non-Kyoto '[kg non-Kyoto gas']]]*IFERROR(VLOOKUP(Fuhrpark[[#This Row],[Emissionsquelle/Aktivität (Dropdown)]],GWP_100[],10,FALSE),0),0))</f>
        <v/>
      </c>
    </row>
    <row r="125" spans="2:92" s="89" customFormat="1" x14ac:dyDescent="0.35">
      <c r="B125" s="604"/>
      <c r="C125" s="10" t="str">
        <f t="shared" si="3"/>
        <v>Fuhrpark</v>
      </c>
      <c r="D125" s="90"/>
      <c r="E125" s="90"/>
      <c r="F125" s="288"/>
      <c r="G125" s="10" t="str">
        <f>IFERROR(VLOOKUP(Fuhrpark[[#This Row],[Thema_Bezeichung]],EFs_Fuhrpark[],4,FALSE),"")</f>
        <v/>
      </c>
      <c r="H125" s="90"/>
      <c r="I125" s="90"/>
      <c r="J125" s="90"/>
      <c r="K125" s="90"/>
      <c r="L125" s="289" t="str">
        <f>IF(ISBLANK(Fuhrpark[[#This Row],[Wert 
(Zahl)]]),"", SUM(Fuhrpark[[#This Row],[Scope 1 CO2e '[kg CO2e']]:[Scope 3 CO2e '[kg CO2e']]]))</f>
        <v/>
      </c>
      <c r="M125" s="289" t="str">
        <f>IF(OR(ISBLANK(Fuhrpark[[#This Row],[Wert 
(Zahl)]]),Fuhrpark[[#This Row],[Emissionsquelle/Aktivität (Dropdown)]]&lt;&gt;"Strom (externes Laden, Deutschland)"),"", SUM(Fuhrpark[[#This Row],[Scope 1 CO2e '[kg CO2e']]],Fuhrpark[[#This Row],[Scope 2 CO2e market-based '[kg CO2e']]],Fuhrpark[[#This Row],[Scope 3 CO2e '[kg CO2e']]]))</f>
        <v/>
      </c>
      <c r="N125" s="408"/>
      <c r="O125" s="15" t="str">
        <f>IF(ISBLANK(Fuhrpark[[#This Row],[Emissionsquelle/Aktivität (Dropdown)]]),"",CONCATENATE(Fuhrpark[[#This Row],[Sektor_Thema]]," - ",Fuhrpark[[#This Row],[Emissionsquelle/Aktivität (Dropdown)]]))</f>
        <v/>
      </c>
      <c r="P125" s="15" t="str">
        <f>IF(ISBLANK(Fuhrpark[[#This Row],[Emissionsquelle/Aktivität (Dropdown)]]),"",AND(Fuhrpark[[#This Row],[Emissionsquelle/Aktivität (Dropdown)]]="Strom (externes laden, Deutschland)",ISNUMBER(Fuhrpark[[#This Row],[Scope-2-Emissionsfaktor Vertragsstrommix
'[g CO2e/kWh']
(falls verfügbar)]])))</f>
        <v/>
      </c>
      <c r="Q125" s="15" t="str">
        <f>IFERROR(VLOOKUP(Fuhrpark[[#This Row],[Thema_Bezeichung]],EFs_Fuhrpark[],5,FALSE),"")</f>
        <v/>
      </c>
      <c r="R125" s="15" t="str">
        <f>IFERROR(VLOOKUP(Fuhrpark[[#This Row],[Thema_Bezeichung]],EFs_Fuhrpark[],6,FALSE),"")</f>
        <v/>
      </c>
      <c r="S125" s="15" t="str">
        <f>IFERROR(VLOOKUP(Fuhrpark[[#This Row],[Thema_Bezeichung]],EFs_Fuhrpark[],7,FALSE),"")</f>
        <v/>
      </c>
      <c r="T125" s="15" t="str">
        <f>IFERROR(VLOOKUP(Fuhrpark[[#This Row],[Thema_Bezeichung]],EFs_Fuhrpark[],8,FALSE),"")</f>
        <v/>
      </c>
      <c r="U125" s="15" t="str">
        <f>IFERROR(VLOOKUP(Fuhrpark[[#This Row],[Thema_Bezeichung]],EFs_Fuhrpark[],9,FALSE),"")</f>
        <v/>
      </c>
      <c r="V125" s="15" t="str">
        <f>IFERROR(VLOOKUP(Fuhrpark[[#This Row],[Thema_Bezeichung]],EFs_Fuhrpark[],10,FALSE),"")</f>
        <v/>
      </c>
      <c r="W125" s="15" t="str">
        <f>IFERROR(VLOOKUP(Fuhrpark[[#This Row],[Thema_Bezeichung]],EFs_Fuhrpark[],11,FALSE),"")</f>
        <v/>
      </c>
      <c r="X125" s="15" t="str">
        <f>IFERROR(VLOOKUP(Fuhrpark[[#This Row],[Thema_Bezeichung]],EFs_Fuhrpark[],12,FALSE),"")</f>
        <v/>
      </c>
      <c r="Y125" s="15" t="str">
        <f>IFERROR(VLOOKUP(Fuhrpark[[#This Row],[Thema_Bezeichung]],EFs_Fuhrpark[],13,FALSE),"")</f>
        <v/>
      </c>
      <c r="Z125" s="15" t="str">
        <f>IFERROR(VLOOKUP(Fuhrpark[[#This Row],[Thema_Bezeichung]],EFs_Fuhrpark[],14,FALSE),"")</f>
        <v/>
      </c>
      <c r="AA125" s="15" t="str">
        <f>IFERROR(VLOOKUP(Fuhrpark[[#This Row],[Thema_Bezeichung]],EFs_Fuhrpark[],15,FALSE),"")</f>
        <v/>
      </c>
      <c r="AB125" s="15" t="str">
        <f>IF(Fuhrpark[[#This Row],[Vertragsstrommix angegegeben?]]=TRUE,Fuhrpark[[#This Row],[Scope-2-Emissionsfaktor Vertragsstrommix
'[g CO2e/kWh']
(falls verfügbar)]]/1000,IFERROR(VLOOKUP(Fuhrpark[[#This Row],[Thema_Bezeichung]],EFs_Fuhrpark[],15,FALSE),""))</f>
        <v/>
      </c>
      <c r="AC125" s="15" t="str">
        <f>IFERROR(VLOOKUP(Fuhrpark[[#This Row],[Thema_Bezeichung]],EFs_Fuhrpark[],16,FALSE),"")</f>
        <v/>
      </c>
      <c r="AD125" s="15" t="str">
        <f>IFERROR(VLOOKUP(Fuhrpark[[#This Row],[Thema_Bezeichung]],EFs_Fuhrpark[],17,FALSE),"")</f>
        <v/>
      </c>
      <c r="AE125" s="15" t="str">
        <f>IFERROR(VLOOKUP(Fuhrpark[[#This Row],[Thema_Bezeichung]],EFs_Fuhrpark[],18,FALSE),"")</f>
        <v/>
      </c>
      <c r="AF125" s="15" t="str">
        <f>IFERROR(VLOOKUP(Fuhrpark[[#This Row],[Thema_Bezeichung]],EFs_Fuhrpark[],19,FALSE),"")</f>
        <v/>
      </c>
      <c r="AG125" s="15" t="str">
        <f>IFERROR(VLOOKUP(Fuhrpark[[#This Row],[Thema_Bezeichung]],EFs_Fuhrpark[],20,FALSE),"")</f>
        <v/>
      </c>
      <c r="AH125" s="15" t="str">
        <f>IFERROR(VLOOKUP(Fuhrpark[[#This Row],[Thema_Bezeichung]],EFs_Fuhrpark[],21,FALSE),"")</f>
        <v/>
      </c>
      <c r="AI125" s="15" t="str">
        <f>IFERROR(VLOOKUP(Fuhrpark[[#This Row],[Thema_Bezeichung]],EFs_Fuhrpark[],22,FALSE),"")</f>
        <v/>
      </c>
      <c r="AJ125" s="15" t="str">
        <f>IFERROR(VLOOKUP(Fuhrpark[[#This Row],[Thema_Bezeichung]],EFs_Fuhrpark[],23,FALSE),"")</f>
        <v/>
      </c>
      <c r="AK125" s="15" t="str">
        <f>IFERROR(VLOOKUP(Fuhrpark[[#This Row],[Thema_Bezeichung]],EFs_Fuhrpark[],24,FALSE),"")</f>
        <v/>
      </c>
      <c r="AL125" s="15" t="str">
        <f>IFERROR(Fuhrpark[[#This Row],[Wert 
(Zahl)]]*Fuhrpark[[#This Row],[EF Scope 1 CO2e
(kg CO2e/Einheit)]],"")</f>
        <v/>
      </c>
      <c r="AM125" s="15" t="str">
        <f>IFERROR(Fuhrpark[[#This Row],[Wert 
(Zahl)]]*Fuhrpark[[#This Row],[EF Scope 2 CO2e
(kg CO2e/Einheit)]],"")</f>
        <v/>
      </c>
      <c r="AN125" s="15" t="str">
        <f>IFERROR(Fuhrpark[[#This Row],[Wert 
(Zahl)]]*Fuhrpark[[#This Row],[EF Scope 3 CO2e
(kg CO2e/Einheit)]],"")</f>
        <v/>
      </c>
      <c r="AO125" s="15" t="str">
        <f>IFERROR(Fuhrpark[[#This Row],[Wert 
(Zahl)]]*Fuhrpark[[#This Row],[EF Scope 1 CO2 biogen
(kg CO2 /Einheit)]],"")</f>
        <v/>
      </c>
      <c r="AP125" s="15" t="str">
        <f>IFERROR(Fuhrpark[[#This Row],[Wert 
(Zahl)]]*Fuhrpark[[#This Row],[Scope 2 Emissionsfaktor market-based '[kg CO2e/Einheit']]],"")</f>
        <v/>
      </c>
      <c r="AQ125" s="15" t="str">
        <f>IFERROR(Fuhrpark[[#This Row],[Wert 
(Zahl)]]*Fuhrpark[[#This Row],[EF Scope 1 CO2
(kg CO2/Einheit)]],"")</f>
        <v/>
      </c>
      <c r="AR125" s="15" t="str">
        <f>IFERROR(Fuhrpark[[#This Row],[Wert 
(Zahl)]]*Fuhrpark[[#This Row],[EF Scope 1 CH4
(kg CH4/Einheit)]],"")</f>
        <v/>
      </c>
      <c r="AS125" s="15" t="str">
        <f>IFERROR(Fuhrpark[[#This Row],[Wert 
(Zahl)]]*Fuhrpark[[#This Row],[EF Scope 1 N2O
(kg N2O/Einheit)]],"")</f>
        <v/>
      </c>
      <c r="AT125" s="15" t="str">
        <f>IFERROR(Fuhrpark[[#This Row],[Wert 
(Zahl)]]*Fuhrpark[[#This Row],[EF Scope 1 HFCs
(kg HFCs/Einheit)]],"")</f>
        <v/>
      </c>
      <c r="AU125" s="15" t="str">
        <f>IFERROR(Fuhrpark[[#This Row],[Wert 
(Zahl)]]*Fuhrpark[[#This Row],[EF Scope 1 PFCs
(kg PFCs/Einheit)]],"")</f>
        <v/>
      </c>
      <c r="AV125" s="15" t="str">
        <f>IFERROR(Fuhrpark[[#This Row],[Wert 
(Zahl)]]*Fuhrpark[[#This Row],[EF Scope 1 SF6
(kg SF6/Einheit)]],"")</f>
        <v/>
      </c>
      <c r="AW125" s="15" t="str">
        <f>IFERROR(Fuhrpark[[#This Row],[Wert 
(Zahl)]]*Fuhrpark[[#This Row],[EF Scope 1 NF3
(kg NF3/Einheit)]],"")</f>
        <v/>
      </c>
      <c r="AX125" s="15" t="str">
        <f>IFERROR(Fuhrpark[[#This Row],[Wert 
(Zahl)]]*Fuhrpark[[#This Row],[EF Scope 1 Nicht-Kyoto-Gase (kg Nicht-Kyoto-Gase/Einheit)]],"")</f>
        <v/>
      </c>
      <c r="AY125" s="15" t="str">
        <f>IFERROR(Fuhrpark[[#This Row],[Wert 
(Zahl)]]*Fuhrpark[[#This Row],[EF Scope 2 CO2
(kg CO2/Einheit)]],"")</f>
        <v/>
      </c>
      <c r="AZ125" s="15" t="str">
        <f>IFERROR(Fuhrpark[[#This Row],[Wert 
(Zahl)]]*Fuhrpark[[#This Row],[EF Scope 2 CH4
(kg CH4/Einheit)]],"")</f>
        <v/>
      </c>
      <c r="BA125" s="15" t="str">
        <f>IFERROR(Fuhrpark[[#This Row],[Wert 
(Zahl)]]*Fuhrpark[[#This Row],[EF Scope 2 N2O
(kg N2O/Einheit)]],"")</f>
        <v/>
      </c>
      <c r="BB125" s="15" t="str">
        <f>IFERROR(Fuhrpark[[#This Row],[Wert 
(Zahl)]]*Fuhrpark[[#This Row],[EF Scope 2 HFCs
(kg HFCs/Einheit)]],"")</f>
        <v/>
      </c>
      <c r="BC125" s="15" t="str">
        <f>IFERROR(Fuhrpark[[#This Row],[Wert 
(Zahl)]]*Fuhrpark[[#This Row],[EF Scope 2 PFCs
(kg PFCs/Einheit)]],"")</f>
        <v/>
      </c>
      <c r="BD125" s="15" t="str">
        <f>IFERROR(Fuhrpark[[#This Row],[Wert 
(Zahl)]]*Fuhrpark[[#This Row],[EF Scope 2 SF6
(kg SF6/Einheit)]],"")</f>
        <v/>
      </c>
      <c r="BE125" s="15" t="str">
        <f>IFERROR(Fuhrpark[[#This Row],[Wert 
(Zahl)]]*Fuhrpark[[#This Row],[EF Scope 2 NF3
(kg NF3/Einheit)]],"")</f>
        <v/>
      </c>
      <c r="BF125" s="15" t="str">
        <f>IFERROR(Fuhrpark[[#This Row],[Wert 
(Zahl)]]*Fuhrpark[[#This Row],[EF Scope 2 Nicht-Kyoto-Gase (kg Nicht-Kyoto-Gase/Einheit)]],"")</f>
        <v/>
      </c>
      <c r="BG125" s="15" t="str">
        <f>IF(ISBLANK(Fuhrpark[[#This Row],[Wert 
(Zahl)]]),"",IFERROR(Fuhrpark[[#This Row],[Scope 1 CO2 '[kg CO2']]]*IFERROR(VLOOKUP("CO2",GWP_100[],3,FALSE),0),0))</f>
        <v/>
      </c>
      <c r="BH125" s="15" t="str">
        <f>IF(ISBLANK(Fuhrpark[[#This Row],[Wert 
(Zahl)]]),"",IFERROR(Fuhrpark[[#This Row],[Scope 1 CH4 '[kg CH4']]]*IFERROR(VLOOKUP("CH4",GWP_100[],4,FALSE),0),0))</f>
        <v/>
      </c>
      <c r="BI125" s="15" t="str">
        <f>IF(ISBLANK(Fuhrpark[[#This Row],[Wert 
(Zahl)]]),"",IFERROR(Fuhrpark[[#This Row],[Scope 1 N2O '[kg N2O']]]*IFERROR(VLOOKUP("N2O",GWP_100[],5,FALSE),0),0))</f>
        <v/>
      </c>
      <c r="BJ125" s="15" t="str">
        <f>IF(ISBLANK(Fuhrpark[[#This Row],[Wert 
(Zahl)]]),"",IFERROR(Fuhrpark[[#This Row],[Scope 1 HFCs '[kg HFCs']]]*IFERROR(VLOOKUP(Fuhrpark[[#This Row],[Emissionsquelle/Aktivität (Dropdown)]],GWP_100[],6,FALSE),0),0))</f>
        <v/>
      </c>
      <c r="BK125" s="15" t="str">
        <f>IF(ISBLANK(Fuhrpark[[#This Row],[Wert 
(Zahl)]]),"",IFERROR(Fuhrpark[[#This Row],[Scope 1 PFCs '[kg PFCs']]]*IFERROR(VLOOKUP(Fuhrpark[[#This Row],[Emissionsquelle/Aktivität (Dropdown)]],GWP_100[],7,FALSE),0),0))</f>
        <v/>
      </c>
      <c r="BL125" s="15" t="str">
        <f>IF(ISBLANK(Fuhrpark[[#This Row],[Wert 
(Zahl)]]),"",IFERROR(Fuhrpark[[#This Row],[Scope 1 SF6 '[kg SF6']]]*IFERROR(VLOOKUP("SF6",GWP_100[],8,FALSE),0),0))</f>
        <v/>
      </c>
      <c r="BM125" s="15" t="str">
        <f>IF(ISBLANK(Fuhrpark[[#This Row],[Wert 
(Zahl)]]),"",IFERROR(Fuhrpark[[#This Row],[Scope 1 NF3 '[kg NF3']]]*IFERROR(VLOOKUP("NF3",GWP_100[],9,FALSE),0),0))</f>
        <v/>
      </c>
      <c r="BN125" s="15" t="str">
        <f>IF(ISBLANK(Fuhrpark[[#This Row],[Wert 
(Zahl)]]),"",IFERROR(Fuhrpark[[#This Row],[Scope 1 non-Kyoto '[kg non-Kyoto gas']]]*IFERROR(VLOOKUP(Fuhrpark[[#This Row],[Emissionsquelle/Aktivität (Dropdown)]],GWP_100[],10,FALSE),0),0))</f>
        <v/>
      </c>
      <c r="BO125" s="15" t="str">
        <f>IF(ISBLANK(Fuhrpark[[#This Row],[Wert 
(Zahl)]]),"",IFERROR(Fuhrpark[[#This Row],[Scope 2 CO2 '[kg CO2']]]*IFERROR(VLOOKUP("CO2",GWP_100[],3,FALSE),0),0))</f>
        <v/>
      </c>
      <c r="BP125" s="15" t="str">
        <f>IF(ISBLANK(Fuhrpark[[#This Row],[Wert 
(Zahl)]]),"",IFERROR(Fuhrpark[[#This Row],[Scope 2 CH4 '[kg CH4']]]*IFERROR(VLOOKUP("CH4",GWP_100[],4,FALSE),0),0))</f>
        <v/>
      </c>
      <c r="BQ125" s="15" t="str">
        <f>IF(ISBLANK(Fuhrpark[[#This Row],[Wert 
(Zahl)]]),"",IFERROR(Fuhrpark[[#This Row],[Scope 2 N2O '[kg N2O']]]*IFERROR(VLOOKUP("N2O",GWP_100[],5,FALSE),0),0))</f>
        <v/>
      </c>
      <c r="BR125" s="15" t="str">
        <f>IF(ISBLANK(Fuhrpark[[#This Row],[Wert 
(Zahl)]]),"",IFERROR(Fuhrpark[[#This Row],[Scope 2 HFCs '[kg HFCs']]]*IFERROR(VLOOKUP(Fuhrpark[[#This Row],[Emissionsquelle/Aktivität (Dropdown)]],GWP_100[],6,FALSE),0),0))</f>
        <v/>
      </c>
      <c r="BS125" s="15" t="str">
        <f>IF(ISBLANK(Fuhrpark[[#This Row],[Wert 
(Zahl)]]),"",IFERROR(Fuhrpark[[#This Row],[Scope 2 PFCs '[kg PFCs']]]*IFERROR(VLOOKUP(Fuhrpark[[#This Row],[Emissionsquelle/Aktivität (Dropdown)]],GWP_100[],7,FALSE),0),0))</f>
        <v/>
      </c>
      <c r="BT125" s="15" t="str">
        <f>IF(ISBLANK(Fuhrpark[[#This Row],[Wert 
(Zahl)]]),"",IFERROR(Fuhrpark[[#This Row],[Scope 2 SF6 '[kg SF6']]]*IFERROR(VLOOKUP("SF6",GWP_100[],8,FALSE),0),0))</f>
        <v/>
      </c>
      <c r="BU125" s="15" t="str">
        <f>IF(ISBLANK(Fuhrpark[[#This Row],[Wert 
(Zahl)]]),"",IFERROR(Fuhrpark[[#This Row],[Scope 2 NF3 '[kg NF3']]]*IFERROR(VLOOKUP("NF3",GWP_100[],9,FALSE),0),0))</f>
        <v/>
      </c>
      <c r="BV125" s="15" t="str">
        <f>IF(ISBLANK(Fuhrpark[[#This Row],[Wert 
(Zahl)]]),"",IFERROR(Fuhrpark[[#This Row],[Scope 2 non-Kyoto '[kg non-Kyoto gas']]]*IFERROR(VLOOKUP(Fuhrpark[[#This Row],[Emissionsquelle/Aktivität (Dropdown)]],GWP_100[],10,FALSE),0),0))</f>
        <v/>
      </c>
      <c r="BW125" s="2"/>
      <c r="BX125" s="2"/>
      <c r="BY125" s="2"/>
      <c r="BZ125" s="2"/>
      <c r="CA125" s="2"/>
      <c r="CB125" s="2"/>
      <c r="CC125" s="2"/>
      <c r="CD125" s="2"/>
      <c r="CE125" s="2"/>
      <c r="CF125" s="2"/>
      <c r="CG125" s="2"/>
      <c r="CH125" s="2"/>
      <c r="CI125" s="2"/>
      <c r="CJ125" s="2"/>
      <c r="CK125" s="2"/>
      <c r="CL125" s="2"/>
      <c r="CM125" s="2"/>
      <c r="CN125" s="2"/>
    </row>
    <row r="126" spans="2:92" s="89" customFormat="1" x14ac:dyDescent="0.35">
      <c r="B126" s="604"/>
      <c r="C126" s="10" t="str">
        <f t="shared" si="3"/>
        <v>Fuhrpark</v>
      </c>
      <c r="D126" s="90"/>
      <c r="E126" s="90"/>
      <c r="F126" s="288"/>
      <c r="G126" s="10" t="str">
        <f>IFERROR(VLOOKUP(Fuhrpark[[#This Row],[Thema_Bezeichung]],EFs_Fuhrpark[],4,FALSE),"")</f>
        <v/>
      </c>
      <c r="H126" s="90"/>
      <c r="I126" s="90"/>
      <c r="J126" s="90"/>
      <c r="K126" s="90"/>
      <c r="L126" s="289" t="str">
        <f>IF(ISBLANK(Fuhrpark[[#This Row],[Wert 
(Zahl)]]),"", SUM(Fuhrpark[[#This Row],[Scope 1 CO2e '[kg CO2e']]:[Scope 3 CO2e '[kg CO2e']]]))</f>
        <v/>
      </c>
      <c r="M126" s="289" t="str">
        <f>IF(OR(ISBLANK(Fuhrpark[[#This Row],[Wert 
(Zahl)]]),Fuhrpark[[#This Row],[Emissionsquelle/Aktivität (Dropdown)]]&lt;&gt;"Strom (externes Laden, Deutschland)"),"", SUM(Fuhrpark[[#This Row],[Scope 1 CO2e '[kg CO2e']]],Fuhrpark[[#This Row],[Scope 2 CO2e market-based '[kg CO2e']]],Fuhrpark[[#This Row],[Scope 3 CO2e '[kg CO2e']]]))</f>
        <v/>
      </c>
      <c r="N126" s="408"/>
      <c r="O126" s="15" t="str">
        <f>IF(ISBLANK(Fuhrpark[[#This Row],[Emissionsquelle/Aktivität (Dropdown)]]),"",CONCATENATE(Fuhrpark[[#This Row],[Sektor_Thema]]," - ",Fuhrpark[[#This Row],[Emissionsquelle/Aktivität (Dropdown)]]))</f>
        <v/>
      </c>
      <c r="P126" s="15" t="str">
        <f>IF(ISBLANK(Fuhrpark[[#This Row],[Emissionsquelle/Aktivität (Dropdown)]]),"",AND(Fuhrpark[[#This Row],[Emissionsquelle/Aktivität (Dropdown)]]="Strom (externes laden, Deutschland)",ISNUMBER(Fuhrpark[[#This Row],[Scope-2-Emissionsfaktor Vertragsstrommix
'[g CO2e/kWh']
(falls verfügbar)]])))</f>
        <v/>
      </c>
      <c r="Q126" s="15" t="str">
        <f>IFERROR(VLOOKUP(Fuhrpark[[#This Row],[Thema_Bezeichung]],EFs_Fuhrpark[],5,FALSE),"")</f>
        <v/>
      </c>
      <c r="R126" s="15" t="str">
        <f>IFERROR(VLOOKUP(Fuhrpark[[#This Row],[Thema_Bezeichung]],EFs_Fuhrpark[],6,FALSE),"")</f>
        <v/>
      </c>
      <c r="S126" s="15" t="str">
        <f>IFERROR(VLOOKUP(Fuhrpark[[#This Row],[Thema_Bezeichung]],EFs_Fuhrpark[],7,FALSE),"")</f>
        <v/>
      </c>
      <c r="T126" s="15" t="str">
        <f>IFERROR(VLOOKUP(Fuhrpark[[#This Row],[Thema_Bezeichung]],EFs_Fuhrpark[],8,FALSE),"")</f>
        <v/>
      </c>
      <c r="U126" s="15" t="str">
        <f>IFERROR(VLOOKUP(Fuhrpark[[#This Row],[Thema_Bezeichung]],EFs_Fuhrpark[],9,FALSE),"")</f>
        <v/>
      </c>
      <c r="V126" s="15" t="str">
        <f>IFERROR(VLOOKUP(Fuhrpark[[#This Row],[Thema_Bezeichung]],EFs_Fuhrpark[],10,FALSE),"")</f>
        <v/>
      </c>
      <c r="W126" s="15" t="str">
        <f>IFERROR(VLOOKUP(Fuhrpark[[#This Row],[Thema_Bezeichung]],EFs_Fuhrpark[],11,FALSE),"")</f>
        <v/>
      </c>
      <c r="X126" s="15" t="str">
        <f>IFERROR(VLOOKUP(Fuhrpark[[#This Row],[Thema_Bezeichung]],EFs_Fuhrpark[],12,FALSE),"")</f>
        <v/>
      </c>
      <c r="Y126" s="15" t="str">
        <f>IFERROR(VLOOKUP(Fuhrpark[[#This Row],[Thema_Bezeichung]],EFs_Fuhrpark[],13,FALSE),"")</f>
        <v/>
      </c>
      <c r="Z126" s="15" t="str">
        <f>IFERROR(VLOOKUP(Fuhrpark[[#This Row],[Thema_Bezeichung]],EFs_Fuhrpark[],14,FALSE),"")</f>
        <v/>
      </c>
      <c r="AA126" s="15" t="str">
        <f>IFERROR(VLOOKUP(Fuhrpark[[#This Row],[Thema_Bezeichung]],EFs_Fuhrpark[],15,FALSE),"")</f>
        <v/>
      </c>
      <c r="AB126" s="15" t="str">
        <f>IF(Fuhrpark[[#This Row],[Vertragsstrommix angegegeben?]]=TRUE,Fuhrpark[[#This Row],[Scope-2-Emissionsfaktor Vertragsstrommix
'[g CO2e/kWh']
(falls verfügbar)]]/1000,IFERROR(VLOOKUP(Fuhrpark[[#This Row],[Thema_Bezeichung]],EFs_Fuhrpark[],15,FALSE),""))</f>
        <v/>
      </c>
      <c r="AC126" s="15" t="str">
        <f>IFERROR(VLOOKUP(Fuhrpark[[#This Row],[Thema_Bezeichung]],EFs_Fuhrpark[],16,FALSE),"")</f>
        <v/>
      </c>
      <c r="AD126" s="15" t="str">
        <f>IFERROR(VLOOKUP(Fuhrpark[[#This Row],[Thema_Bezeichung]],EFs_Fuhrpark[],17,FALSE),"")</f>
        <v/>
      </c>
      <c r="AE126" s="15" t="str">
        <f>IFERROR(VLOOKUP(Fuhrpark[[#This Row],[Thema_Bezeichung]],EFs_Fuhrpark[],18,FALSE),"")</f>
        <v/>
      </c>
      <c r="AF126" s="15" t="str">
        <f>IFERROR(VLOOKUP(Fuhrpark[[#This Row],[Thema_Bezeichung]],EFs_Fuhrpark[],19,FALSE),"")</f>
        <v/>
      </c>
      <c r="AG126" s="15" t="str">
        <f>IFERROR(VLOOKUP(Fuhrpark[[#This Row],[Thema_Bezeichung]],EFs_Fuhrpark[],20,FALSE),"")</f>
        <v/>
      </c>
      <c r="AH126" s="15" t="str">
        <f>IFERROR(VLOOKUP(Fuhrpark[[#This Row],[Thema_Bezeichung]],EFs_Fuhrpark[],21,FALSE),"")</f>
        <v/>
      </c>
      <c r="AI126" s="15" t="str">
        <f>IFERROR(VLOOKUP(Fuhrpark[[#This Row],[Thema_Bezeichung]],EFs_Fuhrpark[],22,FALSE),"")</f>
        <v/>
      </c>
      <c r="AJ126" s="15" t="str">
        <f>IFERROR(VLOOKUP(Fuhrpark[[#This Row],[Thema_Bezeichung]],EFs_Fuhrpark[],23,FALSE),"")</f>
        <v/>
      </c>
      <c r="AK126" s="15" t="str">
        <f>IFERROR(VLOOKUP(Fuhrpark[[#This Row],[Thema_Bezeichung]],EFs_Fuhrpark[],24,FALSE),"")</f>
        <v/>
      </c>
      <c r="AL126" s="15" t="str">
        <f>IFERROR(Fuhrpark[[#This Row],[Wert 
(Zahl)]]*Fuhrpark[[#This Row],[EF Scope 1 CO2e
(kg CO2e/Einheit)]],"")</f>
        <v/>
      </c>
      <c r="AM126" s="15" t="str">
        <f>IFERROR(Fuhrpark[[#This Row],[Wert 
(Zahl)]]*Fuhrpark[[#This Row],[EF Scope 2 CO2e
(kg CO2e/Einheit)]],"")</f>
        <v/>
      </c>
      <c r="AN126" s="15" t="str">
        <f>IFERROR(Fuhrpark[[#This Row],[Wert 
(Zahl)]]*Fuhrpark[[#This Row],[EF Scope 3 CO2e
(kg CO2e/Einheit)]],"")</f>
        <v/>
      </c>
      <c r="AO126" s="15" t="str">
        <f>IFERROR(Fuhrpark[[#This Row],[Wert 
(Zahl)]]*Fuhrpark[[#This Row],[EF Scope 1 CO2 biogen
(kg CO2 /Einheit)]],"")</f>
        <v/>
      </c>
      <c r="AP126" s="15" t="str">
        <f>IFERROR(Fuhrpark[[#This Row],[Wert 
(Zahl)]]*Fuhrpark[[#This Row],[Scope 2 Emissionsfaktor market-based '[kg CO2e/Einheit']]],"")</f>
        <v/>
      </c>
      <c r="AQ126" s="15" t="str">
        <f>IFERROR(Fuhrpark[[#This Row],[Wert 
(Zahl)]]*Fuhrpark[[#This Row],[EF Scope 1 CO2
(kg CO2/Einheit)]],"")</f>
        <v/>
      </c>
      <c r="AR126" s="15" t="str">
        <f>IFERROR(Fuhrpark[[#This Row],[Wert 
(Zahl)]]*Fuhrpark[[#This Row],[EF Scope 1 CH4
(kg CH4/Einheit)]],"")</f>
        <v/>
      </c>
      <c r="AS126" s="15" t="str">
        <f>IFERROR(Fuhrpark[[#This Row],[Wert 
(Zahl)]]*Fuhrpark[[#This Row],[EF Scope 1 N2O
(kg N2O/Einheit)]],"")</f>
        <v/>
      </c>
      <c r="AT126" s="15" t="str">
        <f>IFERROR(Fuhrpark[[#This Row],[Wert 
(Zahl)]]*Fuhrpark[[#This Row],[EF Scope 1 HFCs
(kg HFCs/Einheit)]],"")</f>
        <v/>
      </c>
      <c r="AU126" s="15" t="str">
        <f>IFERROR(Fuhrpark[[#This Row],[Wert 
(Zahl)]]*Fuhrpark[[#This Row],[EF Scope 1 PFCs
(kg PFCs/Einheit)]],"")</f>
        <v/>
      </c>
      <c r="AV126" s="15" t="str">
        <f>IFERROR(Fuhrpark[[#This Row],[Wert 
(Zahl)]]*Fuhrpark[[#This Row],[EF Scope 1 SF6
(kg SF6/Einheit)]],"")</f>
        <v/>
      </c>
      <c r="AW126" s="15" t="str">
        <f>IFERROR(Fuhrpark[[#This Row],[Wert 
(Zahl)]]*Fuhrpark[[#This Row],[EF Scope 1 NF3
(kg NF3/Einheit)]],"")</f>
        <v/>
      </c>
      <c r="AX126" s="15" t="str">
        <f>IFERROR(Fuhrpark[[#This Row],[Wert 
(Zahl)]]*Fuhrpark[[#This Row],[EF Scope 1 Nicht-Kyoto-Gase (kg Nicht-Kyoto-Gase/Einheit)]],"")</f>
        <v/>
      </c>
      <c r="AY126" s="15" t="str">
        <f>IFERROR(Fuhrpark[[#This Row],[Wert 
(Zahl)]]*Fuhrpark[[#This Row],[EF Scope 2 CO2
(kg CO2/Einheit)]],"")</f>
        <v/>
      </c>
      <c r="AZ126" s="15" t="str">
        <f>IFERROR(Fuhrpark[[#This Row],[Wert 
(Zahl)]]*Fuhrpark[[#This Row],[EF Scope 2 CH4
(kg CH4/Einheit)]],"")</f>
        <v/>
      </c>
      <c r="BA126" s="15" t="str">
        <f>IFERROR(Fuhrpark[[#This Row],[Wert 
(Zahl)]]*Fuhrpark[[#This Row],[EF Scope 2 N2O
(kg N2O/Einheit)]],"")</f>
        <v/>
      </c>
      <c r="BB126" s="15" t="str">
        <f>IFERROR(Fuhrpark[[#This Row],[Wert 
(Zahl)]]*Fuhrpark[[#This Row],[EF Scope 2 HFCs
(kg HFCs/Einheit)]],"")</f>
        <v/>
      </c>
      <c r="BC126" s="15" t="str">
        <f>IFERROR(Fuhrpark[[#This Row],[Wert 
(Zahl)]]*Fuhrpark[[#This Row],[EF Scope 2 PFCs
(kg PFCs/Einheit)]],"")</f>
        <v/>
      </c>
      <c r="BD126" s="15" t="str">
        <f>IFERROR(Fuhrpark[[#This Row],[Wert 
(Zahl)]]*Fuhrpark[[#This Row],[EF Scope 2 SF6
(kg SF6/Einheit)]],"")</f>
        <v/>
      </c>
      <c r="BE126" s="15" t="str">
        <f>IFERROR(Fuhrpark[[#This Row],[Wert 
(Zahl)]]*Fuhrpark[[#This Row],[EF Scope 2 NF3
(kg NF3/Einheit)]],"")</f>
        <v/>
      </c>
      <c r="BF126" s="15" t="str">
        <f>IFERROR(Fuhrpark[[#This Row],[Wert 
(Zahl)]]*Fuhrpark[[#This Row],[EF Scope 2 Nicht-Kyoto-Gase (kg Nicht-Kyoto-Gase/Einheit)]],"")</f>
        <v/>
      </c>
      <c r="BG126" s="15" t="str">
        <f>IF(ISBLANK(Fuhrpark[[#This Row],[Wert 
(Zahl)]]),"",IFERROR(Fuhrpark[[#This Row],[Scope 1 CO2 '[kg CO2']]]*IFERROR(VLOOKUP("CO2",GWP_100[],3,FALSE),0),0))</f>
        <v/>
      </c>
      <c r="BH126" s="15" t="str">
        <f>IF(ISBLANK(Fuhrpark[[#This Row],[Wert 
(Zahl)]]),"",IFERROR(Fuhrpark[[#This Row],[Scope 1 CH4 '[kg CH4']]]*IFERROR(VLOOKUP("CH4",GWP_100[],4,FALSE),0),0))</f>
        <v/>
      </c>
      <c r="BI126" s="15" t="str">
        <f>IF(ISBLANK(Fuhrpark[[#This Row],[Wert 
(Zahl)]]),"",IFERROR(Fuhrpark[[#This Row],[Scope 1 N2O '[kg N2O']]]*IFERROR(VLOOKUP("N2O",GWP_100[],5,FALSE),0),0))</f>
        <v/>
      </c>
      <c r="BJ126" s="15" t="str">
        <f>IF(ISBLANK(Fuhrpark[[#This Row],[Wert 
(Zahl)]]),"",IFERROR(Fuhrpark[[#This Row],[Scope 1 HFCs '[kg HFCs']]]*IFERROR(VLOOKUP(Fuhrpark[[#This Row],[Emissionsquelle/Aktivität (Dropdown)]],GWP_100[],6,FALSE),0),0))</f>
        <v/>
      </c>
      <c r="BK126" s="15" t="str">
        <f>IF(ISBLANK(Fuhrpark[[#This Row],[Wert 
(Zahl)]]),"",IFERROR(Fuhrpark[[#This Row],[Scope 1 PFCs '[kg PFCs']]]*IFERROR(VLOOKUP(Fuhrpark[[#This Row],[Emissionsquelle/Aktivität (Dropdown)]],GWP_100[],7,FALSE),0),0))</f>
        <v/>
      </c>
      <c r="BL126" s="15" t="str">
        <f>IF(ISBLANK(Fuhrpark[[#This Row],[Wert 
(Zahl)]]),"",IFERROR(Fuhrpark[[#This Row],[Scope 1 SF6 '[kg SF6']]]*IFERROR(VLOOKUP("SF6",GWP_100[],8,FALSE),0),0))</f>
        <v/>
      </c>
      <c r="BM126" s="15" t="str">
        <f>IF(ISBLANK(Fuhrpark[[#This Row],[Wert 
(Zahl)]]),"",IFERROR(Fuhrpark[[#This Row],[Scope 1 NF3 '[kg NF3']]]*IFERROR(VLOOKUP("NF3",GWP_100[],9,FALSE),0),0))</f>
        <v/>
      </c>
      <c r="BN126" s="15" t="str">
        <f>IF(ISBLANK(Fuhrpark[[#This Row],[Wert 
(Zahl)]]),"",IFERROR(Fuhrpark[[#This Row],[Scope 1 non-Kyoto '[kg non-Kyoto gas']]]*IFERROR(VLOOKUP(Fuhrpark[[#This Row],[Emissionsquelle/Aktivität (Dropdown)]],GWP_100[],10,FALSE),0),0))</f>
        <v/>
      </c>
      <c r="BO126" s="15" t="str">
        <f>IF(ISBLANK(Fuhrpark[[#This Row],[Wert 
(Zahl)]]),"",IFERROR(Fuhrpark[[#This Row],[Scope 2 CO2 '[kg CO2']]]*IFERROR(VLOOKUP("CO2",GWP_100[],3,FALSE),0),0))</f>
        <v/>
      </c>
      <c r="BP126" s="15" t="str">
        <f>IF(ISBLANK(Fuhrpark[[#This Row],[Wert 
(Zahl)]]),"",IFERROR(Fuhrpark[[#This Row],[Scope 2 CH4 '[kg CH4']]]*IFERROR(VLOOKUP("CH4",GWP_100[],4,FALSE),0),0))</f>
        <v/>
      </c>
      <c r="BQ126" s="15" t="str">
        <f>IF(ISBLANK(Fuhrpark[[#This Row],[Wert 
(Zahl)]]),"",IFERROR(Fuhrpark[[#This Row],[Scope 2 N2O '[kg N2O']]]*IFERROR(VLOOKUP("N2O",GWP_100[],5,FALSE),0),0))</f>
        <v/>
      </c>
      <c r="BR126" s="15" t="str">
        <f>IF(ISBLANK(Fuhrpark[[#This Row],[Wert 
(Zahl)]]),"",IFERROR(Fuhrpark[[#This Row],[Scope 2 HFCs '[kg HFCs']]]*IFERROR(VLOOKUP(Fuhrpark[[#This Row],[Emissionsquelle/Aktivität (Dropdown)]],GWP_100[],6,FALSE),0),0))</f>
        <v/>
      </c>
      <c r="BS126" s="15" t="str">
        <f>IF(ISBLANK(Fuhrpark[[#This Row],[Wert 
(Zahl)]]),"",IFERROR(Fuhrpark[[#This Row],[Scope 2 PFCs '[kg PFCs']]]*IFERROR(VLOOKUP(Fuhrpark[[#This Row],[Emissionsquelle/Aktivität (Dropdown)]],GWP_100[],7,FALSE),0),0))</f>
        <v/>
      </c>
      <c r="BT126" s="15" t="str">
        <f>IF(ISBLANK(Fuhrpark[[#This Row],[Wert 
(Zahl)]]),"",IFERROR(Fuhrpark[[#This Row],[Scope 2 SF6 '[kg SF6']]]*IFERROR(VLOOKUP("SF6",GWP_100[],8,FALSE),0),0))</f>
        <v/>
      </c>
      <c r="BU126" s="15" t="str">
        <f>IF(ISBLANK(Fuhrpark[[#This Row],[Wert 
(Zahl)]]),"",IFERROR(Fuhrpark[[#This Row],[Scope 2 NF3 '[kg NF3']]]*IFERROR(VLOOKUP("NF3",GWP_100[],9,FALSE),0),0))</f>
        <v/>
      </c>
      <c r="BV126" s="15" t="str">
        <f>IF(ISBLANK(Fuhrpark[[#This Row],[Wert 
(Zahl)]]),"",IFERROR(Fuhrpark[[#This Row],[Scope 2 non-Kyoto '[kg non-Kyoto gas']]]*IFERROR(VLOOKUP(Fuhrpark[[#This Row],[Emissionsquelle/Aktivität (Dropdown)]],GWP_100[],10,FALSE),0),0))</f>
        <v/>
      </c>
      <c r="BW126"/>
      <c r="BX126"/>
      <c r="BY126"/>
      <c r="BZ126"/>
      <c r="CA126"/>
      <c r="CB126"/>
      <c r="CC126"/>
      <c r="CD126"/>
      <c r="CE126"/>
      <c r="CF126"/>
      <c r="CG126"/>
      <c r="CH126"/>
      <c r="CI126"/>
      <c r="CJ126"/>
      <c r="CK126"/>
      <c r="CL126"/>
      <c r="CM126"/>
      <c r="CN126"/>
    </row>
    <row r="127" spans="2:92" s="89" customFormat="1" x14ac:dyDescent="0.35">
      <c r="B127" s="604"/>
      <c r="C127" s="10" t="str">
        <f t="shared" si="3"/>
        <v>Fuhrpark</v>
      </c>
      <c r="D127" s="90"/>
      <c r="E127" s="90"/>
      <c r="F127" s="288"/>
      <c r="G127" s="10" t="str">
        <f>IFERROR(VLOOKUP(Fuhrpark[[#This Row],[Thema_Bezeichung]],EFs_Fuhrpark[],4,FALSE),"")</f>
        <v/>
      </c>
      <c r="H127" s="90"/>
      <c r="I127" s="90"/>
      <c r="J127" s="90"/>
      <c r="K127" s="90"/>
      <c r="L127" s="289" t="str">
        <f>IF(ISBLANK(Fuhrpark[[#This Row],[Wert 
(Zahl)]]),"", SUM(Fuhrpark[[#This Row],[Scope 1 CO2e '[kg CO2e']]:[Scope 3 CO2e '[kg CO2e']]]))</f>
        <v/>
      </c>
      <c r="M127" s="289" t="str">
        <f>IF(OR(ISBLANK(Fuhrpark[[#This Row],[Wert 
(Zahl)]]),Fuhrpark[[#This Row],[Emissionsquelle/Aktivität (Dropdown)]]&lt;&gt;"Strom (externes Laden, Deutschland)"),"", SUM(Fuhrpark[[#This Row],[Scope 1 CO2e '[kg CO2e']]],Fuhrpark[[#This Row],[Scope 2 CO2e market-based '[kg CO2e']]],Fuhrpark[[#This Row],[Scope 3 CO2e '[kg CO2e']]]))</f>
        <v/>
      </c>
      <c r="N127" s="408"/>
      <c r="O127" s="15" t="str">
        <f>IF(ISBLANK(Fuhrpark[[#This Row],[Emissionsquelle/Aktivität (Dropdown)]]),"",CONCATENATE(Fuhrpark[[#This Row],[Sektor_Thema]]," - ",Fuhrpark[[#This Row],[Emissionsquelle/Aktivität (Dropdown)]]))</f>
        <v/>
      </c>
      <c r="P127" s="15" t="str">
        <f>IF(ISBLANK(Fuhrpark[[#This Row],[Emissionsquelle/Aktivität (Dropdown)]]),"",AND(Fuhrpark[[#This Row],[Emissionsquelle/Aktivität (Dropdown)]]="Strom (externes laden, Deutschland)",ISNUMBER(Fuhrpark[[#This Row],[Scope-2-Emissionsfaktor Vertragsstrommix
'[g CO2e/kWh']
(falls verfügbar)]])))</f>
        <v/>
      </c>
      <c r="Q127" s="15" t="str">
        <f>IFERROR(VLOOKUP(Fuhrpark[[#This Row],[Thema_Bezeichung]],EFs_Fuhrpark[],5,FALSE),"")</f>
        <v/>
      </c>
      <c r="R127" s="15" t="str">
        <f>IFERROR(VLOOKUP(Fuhrpark[[#This Row],[Thema_Bezeichung]],EFs_Fuhrpark[],6,FALSE),"")</f>
        <v/>
      </c>
      <c r="S127" s="15" t="str">
        <f>IFERROR(VLOOKUP(Fuhrpark[[#This Row],[Thema_Bezeichung]],EFs_Fuhrpark[],7,FALSE),"")</f>
        <v/>
      </c>
      <c r="T127" s="15" t="str">
        <f>IFERROR(VLOOKUP(Fuhrpark[[#This Row],[Thema_Bezeichung]],EFs_Fuhrpark[],8,FALSE),"")</f>
        <v/>
      </c>
      <c r="U127" s="15" t="str">
        <f>IFERROR(VLOOKUP(Fuhrpark[[#This Row],[Thema_Bezeichung]],EFs_Fuhrpark[],9,FALSE),"")</f>
        <v/>
      </c>
      <c r="V127" s="15" t="str">
        <f>IFERROR(VLOOKUP(Fuhrpark[[#This Row],[Thema_Bezeichung]],EFs_Fuhrpark[],10,FALSE),"")</f>
        <v/>
      </c>
      <c r="W127" s="15" t="str">
        <f>IFERROR(VLOOKUP(Fuhrpark[[#This Row],[Thema_Bezeichung]],EFs_Fuhrpark[],11,FALSE),"")</f>
        <v/>
      </c>
      <c r="X127" s="15" t="str">
        <f>IFERROR(VLOOKUP(Fuhrpark[[#This Row],[Thema_Bezeichung]],EFs_Fuhrpark[],12,FALSE),"")</f>
        <v/>
      </c>
      <c r="Y127" s="15" t="str">
        <f>IFERROR(VLOOKUP(Fuhrpark[[#This Row],[Thema_Bezeichung]],EFs_Fuhrpark[],13,FALSE),"")</f>
        <v/>
      </c>
      <c r="Z127" s="15" t="str">
        <f>IFERROR(VLOOKUP(Fuhrpark[[#This Row],[Thema_Bezeichung]],EFs_Fuhrpark[],14,FALSE),"")</f>
        <v/>
      </c>
      <c r="AA127" s="15" t="str">
        <f>IFERROR(VLOOKUP(Fuhrpark[[#This Row],[Thema_Bezeichung]],EFs_Fuhrpark[],15,FALSE),"")</f>
        <v/>
      </c>
      <c r="AB127" s="15" t="str">
        <f>IF(Fuhrpark[[#This Row],[Vertragsstrommix angegegeben?]]=TRUE,Fuhrpark[[#This Row],[Scope-2-Emissionsfaktor Vertragsstrommix
'[g CO2e/kWh']
(falls verfügbar)]]/1000,IFERROR(VLOOKUP(Fuhrpark[[#This Row],[Thema_Bezeichung]],EFs_Fuhrpark[],15,FALSE),""))</f>
        <v/>
      </c>
      <c r="AC127" s="15" t="str">
        <f>IFERROR(VLOOKUP(Fuhrpark[[#This Row],[Thema_Bezeichung]],EFs_Fuhrpark[],16,FALSE),"")</f>
        <v/>
      </c>
      <c r="AD127" s="15" t="str">
        <f>IFERROR(VLOOKUP(Fuhrpark[[#This Row],[Thema_Bezeichung]],EFs_Fuhrpark[],17,FALSE),"")</f>
        <v/>
      </c>
      <c r="AE127" s="15" t="str">
        <f>IFERROR(VLOOKUP(Fuhrpark[[#This Row],[Thema_Bezeichung]],EFs_Fuhrpark[],18,FALSE),"")</f>
        <v/>
      </c>
      <c r="AF127" s="15" t="str">
        <f>IFERROR(VLOOKUP(Fuhrpark[[#This Row],[Thema_Bezeichung]],EFs_Fuhrpark[],19,FALSE),"")</f>
        <v/>
      </c>
      <c r="AG127" s="15" t="str">
        <f>IFERROR(VLOOKUP(Fuhrpark[[#This Row],[Thema_Bezeichung]],EFs_Fuhrpark[],20,FALSE),"")</f>
        <v/>
      </c>
      <c r="AH127" s="15" t="str">
        <f>IFERROR(VLOOKUP(Fuhrpark[[#This Row],[Thema_Bezeichung]],EFs_Fuhrpark[],21,FALSE),"")</f>
        <v/>
      </c>
      <c r="AI127" s="15" t="str">
        <f>IFERROR(VLOOKUP(Fuhrpark[[#This Row],[Thema_Bezeichung]],EFs_Fuhrpark[],22,FALSE),"")</f>
        <v/>
      </c>
      <c r="AJ127" s="15" t="str">
        <f>IFERROR(VLOOKUP(Fuhrpark[[#This Row],[Thema_Bezeichung]],EFs_Fuhrpark[],23,FALSE),"")</f>
        <v/>
      </c>
      <c r="AK127" s="15" t="str">
        <f>IFERROR(VLOOKUP(Fuhrpark[[#This Row],[Thema_Bezeichung]],EFs_Fuhrpark[],24,FALSE),"")</f>
        <v/>
      </c>
      <c r="AL127" s="15" t="str">
        <f>IFERROR(Fuhrpark[[#This Row],[Wert 
(Zahl)]]*Fuhrpark[[#This Row],[EF Scope 1 CO2e
(kg CO2e/Einheit)]],"")</f>
        <v/>
      </c>
      <c r="AM127" s="15" t="str">
        <f>IFERROR(Fuhrpark[[#This Row],[Wert 
(Zahl)]]*Fuhrpark[[#This Row],[EF Scope 2 CO2e
(kg CO2e/Einheit)]],"")</f>
        <v/>
      </c>
      <c r="AN127" s="15" t="str">
        <f>IFERROR(Fuhrpark[[#This Row],[Wert 
(Zahl)]]*Fuhrpark[[#This Row],[EF Scope 3 CO2e
(kg CO2e/Einheit)]],"")</f>
        <v/>
      </c>
      <c r="AO127" s="15" t="str">
        <f>IFERROR(Fuhrpark[[#This Row],[Wert 
(Zahl)]]*Fuhrpark[[#This Row],[EF Scope 1 CO2 biogen
(kg CO2 /Einheit)]],"")</f>
        <v/>
      </c>
      <c r="AP127" s="15" t="str">
        <f>IFERROR(Fuhrpark[[#This Row],[Wert 
(Zahl)]]*Fuhrpark[[#This Row],[Scope 2 Emissionsfaktor market-based '[kg CO2e/Einheit']]],"")</f>
        <v/>
      </c>
      <c r="AQ127" s="15" t="str">
        <f>IFERROR(Fuhrpark[[#This Row],[Wert 
(Zahl)]]*Fuhrpark[[#This Row],[EF Scope 1 CO2
(kg CO2/Einheit)]],"")</f>
        <v/>
      </c>
      <c r="AR127" s="15" t="str">
        <f>IFERROR(Fuhrpark[[#This Row],[Wert 
(Zahl)]]*Fuhrpark[[#This Row],[EF Scope 1 CH4
(kg CH4/Einheit)]],"")</f>
        <v/>
      </c>
      <c r="AS127" s="15" t="str">
        <f>IFERROR(Fuhrpark[[#This Row],[Wert 
(Zahl)]]*Fuhrpark[[#This Row],[EF Scope 1 N2O
(kg N2O/Einheit)]],"")</f>
        <v/>
      </c>
      <c r="AT127" s="15" t="str">
        <f>IFERROR(Fuhrpark[[#This Row],[Wert 
(Zahl)]]*Fuhrpark[[#This Row],[EF Scope 1 HFCs
(kg HFCs/Einheit)]],"")</f>
        <v/>
      </c>
      <c r="AU127" s="15" t="str">
        <f>IFERROR(Fuhrpark[[#This Row],[Wert 
(Zahl)]]*Fuhrpark[[#This Row],[EF Scope 1 PFCs
(kg PFCs/Einheit)]],"")</f>
        <v/>
      </c>
      <c r="AV127" s="15" t="str">
        <f>IFERROR(Fuhrpark[[#This Row],[Wert 
(Zahl)]]*Fuhrpark[[#This Row],[EF Scope 1 SF6
(kg SF6/Einheit)]],"")</f>
        <v/>
      </c>
      <c r="AW127" s="15" t="str">
        <f>IFERROR(Fuhrpark[[#This Row],[Wert 
(Zahl)]]*Fuhrpark[[#This Row],[EF Scope 1 NF3
(kg NF3/Einheit)]],"")</f>
        <v/>
      </c>
      <c r="AX127" s="15" t="str">
        <f>IFERROR(Fuhrpark[[#This Row],[Wert 
(Zahl)]]*Fuhrpark[[#This Row],[EF Scope 1 Nicht-Kyoto-Gase (kg Nicht-Kyoto-Gase/Einheit)]],"")</f>
        <v/>
      </c>
      <c r="AY127" s="15" t="str">
        <f>IFERROR(Fuhrpark[[#This Row],[Wert 
(Zahl)]]*Fuhrpark[[#This Row],[EF Scope 2 CO2
(kg CO2/Einheit)]],"")</f>
        <v/>
      </c>
      <c r="AZ127" s="15" t="str">
        <f>IFERROR(Fuhrpark[[#This Row],[Wert 
(Zahl)]]*Fuhrpark[[#This Row],[EF Scope 2 CH4
(kg CH4/Einheit)]],"")</f>
        <v/>
      </c>
      <c r="BA127" s="15" t="str">
        <f>IFERROR(Fuhrpark[[#This Row],[Wert 
(Zahl)]]*Fuhrpark[[#This Row],[EF Scope 2 N2O
(kg N2O/Einheit)]],"")</f>
        <v/>
      </c>
      <c r="BB127" s="15" t="str">
        <f>IFERROR(Fuhrpark[[#This Row],[Wert 
(Zahl)]]*Fuhrpark[[#This Row],[EF Scope 2 HFCs
(kg HFCs/Einheit)]],"")</f>
        <v/>
      </c>
      <c r="BC127" s="15" t="str">
        <f>IFERROR(Fuhrpark[[#This Row],[Wert 
(Zahl)]]*Fuhrpark[[#This Row],[EF Scope 2 PFCs
(kg PFCs/Einheit)]],"")</f>
        <v/>
      </c>
      <c r="BD127" s="15" t="str">
        <f>IFERROR(Fuhrpark[[#This Row],[Wert 
(Zahl)]]*Fuhrpark[[#This Row],[EF Scope 2 SF6
(kg SF6/Einheit)]],"")</f>
        <v/>
      </c>
      <c r="BE127" s="15" t="str">
        <f>IFERROR(Fuhrpark[[#This Row],[Wert 
(Zahl)]]*Fuhrpark[[#This Row],[EF Scope 2 NF3
(kg NF3/Einheit)]],"")</f>
        <v/>
      </c>
      <c r="BF127" s="15" t="str">
        <f>IFERROR(Fuhrpark[[#This Row],[Wert 
(Zahl)]]*Fuhrpark[[#This Row],[EF Scope 2 Nicht-Kyoto-Gase (kg Nicht-Kyoto-Gase/Einheit)]],"")</f>
        <v/>
      </c>
      <c r="BG127" s="15" t="str">
        <f>IF(ISBLANK(Fuhrpark[[#This Row],[Wert 
(Zahl)]]),"",IFERROR(Fuhrpark[[#This Row],[Scope 1 CO2 '[kg CO2']]]*IFERROR(VLOOKUP("CO2",GWP_100[],3,FALSE),0),0))</f>
        <v/>
      </c>
      <c r="BH127" s="15" t="str">
        <f>IF(ISBLANK(Fuhrpark[[#This Row],[Wert 
(Zahl)]]),"",IFERROR(Fuhrpark[[#This Row],[Scope 1 CH4 '[kg CH4']]]*IFERROR(VLOOKUP("CH4",GWP_100[],4,FALSE),0),0))</f>
        <v/>
      </c>
      <c r="BI127" s="15" t="str">
        <f>IF(ISBLANK(Fuhrpark[[#This Row],[Wert 
(Zahl)]]),"",IFERROR(Fuhrpark[[#This Row],[Scope 1 N2O '[kg N2O']]]*IFERROR(VLOOKUP("N2O",GWP_100[],5,FALSE),0),0))</f>
        <v/>
      </c>
      <c r="BJ127" s="15" t="str">
        <f>IF(ISBLANK(Fuhrpark[[#This Row],[Wert 
(Zahl)]]),"",IFERROR(Fuhrpark[[#This Row],[Scope 1 HFCs '[kg HFCs']]]*IFERROR(VLOOKUP(Fuhrpark[[#This Row],[Emissionsquelle/Aktivität (Dropdown)]],GWP_100[],6,FALSE),0),0))</f>
        <v/>
      </c>
      <c r="BK127" s="15" t="str">
        <f>IF(ISBLANK(Fuhrpark[[#This Row],[Wert 
(Zahl)]]),"",IFERROR(Fuhrpark[[#This Row],[Scope 1 PFCs '[kg PFCs']]]*IFERROR(VLOOKUP(Fuhrpark[[#This Row],[Emissionsquelle/Aktivität (Dropdown)]],GWP_100[],7,FALSE),0),0))</f>
        <v/>
      </c>
      <c r="BL127" s="15" t="str">
        <f>IF(ISBLANK(Fuhrpark[[#This Row],[Wert 
(Zahl)]]),"",IFERROR(Fuhrpark[[#This Row],[Scope 1 SF6 '[kg SF6']]]*IFERROR(VLOOKUP("SF6",GWP_100[],8,FALSE),0),0))</f>
        <v/>
      </c>
      <c r="BM127" s="15" t="str">
        <f>IF(ISBLANK(Fuhrpark[[#This Row],[Wert 
(Zahl)]]),"",IFERROR(Fuhrpark[[#This Row],[Scope 1 NF3 '[kg NF3']]]*IFERROR(VLOOKUP("NF3",GWP_100[],9,FALSE),0),0))</f>
        <v/>
      </c>
      <c r="BN127" s="15" t="str">
        <f>IF(ISBLANK(Fuhrpark[[#This Row],[Wert 
(Zahl)]]),"",IFERROR(Fuhrpark[[#This Row],[Scope 1 non-Kyoto '[kg non-Kyoto gas']]]*IFERROR(VLOOKUP(Fuhrpark[[#This Row],[Emissionsquelle/Aktivität (Dropdown)]],GWP_100[],10,FALSE),0),0))</f>
        <v/>
      </c>
      <c r="BO127" s="15" t="str">
        <f>IF(ISBLANK(Fuhrpark[[#This Row],[Wert 
(Zahl)]]),"",IFERROR(Fuhrpark[[#This Row],[Scope 2 CO2 '[kg CO2']]]*IFERROR(VLOOKUP("CO2",GWP_100[],3,FALSE),0),0))</f>
        <v/>
      </c>
      <c r="BP127" s="15" t="str">
        <f>IF(ISBLANK(Fuhrpark[[#This Row],[Wert 
(Zahl)]]),"",IFERROR(Fuhrpark[[#This Row],[Scope 2 CH4 '[kg CH4']]]*IFERROR(VLOOKUP("CH4",GWP_100[],4,FALSE),0),0))</f>
        <v/>
      </c>
      <c r="BQ127" s="15" t="str">
        <f>IF(ISBLANK(Fuhrpark[[#This Row],[Wert 
(Zahl)]]),"",IFERROR(Fuhrpark[[#This Row],[Scope 2 N2O '[kg N2O']]]*IFERROR(VLOOKUP("N2O",GWP_100[],5,FALSE),0),0))</f>
        <v/>
      </c>
      <c r="BR127" s="15" t="str">
        <f>IF(ISBLANK(Fuhrpark[[#This Row],[Wert 
(Zahl)]]),"",IFERROR(Fuhrpark[[#This Row],[Scope 2 HFCs '[kg HFCs']]]*IFERROR(VLOOKUP(Fuhrpark[[#This Row],[Emissionsquelle/Aktivität (Dropdown)]],GWP_100[],6,FALSE),0),0))</f>
        <v/>
      </c>
      <c r="BS127" s="15" t="str">
        <f>IF(ISBLANK(Fuhrpark[[#This Row],[Wert 
(Zahl)]]),"",IFERROR(Fuhrpark[[#This Row],[Scope 2 PFCs '[kg PFCs']]]*IFERROR(VLOOKUP(Fuhrpark[[#This Row],[Emissionsquelle/Aktivität (Dropdown)]],GWP_100[],7,FALSE),0),0))</f>
        <v/>
      </c>
      <c r="BT127" s="15" t="str">
        <f>IF(ISBLANK(Fuhrpark[[#This Row],[Wert 
(Zahl)]]),"",IFERROR(Fuhrpark[[#This Row],[Scope 2 SF6 '[kg SF6']]]*IFERROR(VLOOKUP("SF6",GWP_100[],8,FALSE),0),0))</f>
        <v/>
      </c>
      <c r="BU127" s="15" t="str">
        <f>IF(ISBLANK(Fuhrpark[[#This Row],[Wert 
(Zahl)]]),"",IFERROR(Fuhrpark[[#This Row],[Scope 2 NF3 '[kg NF3']]]*IFERROR(VLOOKUP("NF3",GWP_100[],9,FALSE),0),0))</f>
        <v/>
      </c>
      <c r="BV127" s="15" t="str">
        <f>IF(ISBLANK(Fuhrpark[[#This Row],[Wert 
(Zahl)]]),"",IFERROR(Fuhrpark[[#This Row],[Scope 2 non-Kyoto '[kg non-Kyoto gas']]]*IFERROR(VLOOKUP(Fuhrpark[[#This Row],[Emissionsquelle/Aktivität (Dropdown)]],GWP_100[],10,FALSE),0),0))</f>
        <v/>
      </c>
      <c r="BW127"/>
      <c r="BX127"/>
      <c r="BY127"/>
      <c r="BZ127"/>
      <c r="CA127"/>
      <c r="CB127"/>
      <c r="CC127"/>
      <c r="CD127"/>
      <c r="CE127"/>
      <c r="CF127"/>
      <c r="CG127"/>
      <c r="CH127"/>
      <c r="CI127"/>
      <c r="CJ127"/>
      <c r="CK127"/>
      <c r="CL127"/>
      <c r="CM127"/>
      <c r="CN127"/>
    </row>
    <row r="128" spans="2:92" s="89" customFormat="1" x14ac:dyDescent="0.35">
      <c r="B128" s="604"/>
      <c r="C128" s="90" t="str">
        <f t="shared" si="3"/>
        <v>Fuhrpark</v>
      </c>
      <c r="D128" s="90"/>
      <c r="E128" s="90"/>
      <c r="F128" s="288"/>
      <c r="G128" s="90" t="str">
        <f>IFERROR(VLOOKUP(Fuhrpark[[#This Row],[Thema_Bezeichung]],EFs_Fuhrpark[],4,FALSE),"")</f>
        <v/>
      </c>
      <c r="H128" s="90"/>
      <c r="I128" s="90"/>
      <c r="J128" s="90"/>
      <c r="K128" s="90"/>
      <c r="L128" s="290" t="str">
        <f>IF(ISBLANK(Fuhrpark[[#This Row],[Wert 
(Zahl)]]),"", SUM(Fuhrpark[[#This Row],[Scope 1 CO2e '[kg CO2e']]:[Scope 3 CO2e '[kg CO2e']]]))</f>
        <v/>
      </c>
      <c r="M128" s="290" t="str">
        <f>IF(OR(ISBLANK(Fuhrpark[[#This Row],[Wert 
(Zahl)]]),Fuhrpark[[#This Row],[Emissionsquelle/Aktivität (Dropdown)]]&lt;&gt;"Strom (externes Laden, Deutschland)"),"", SUM(Fuhrpark[[#This Row],[Scope 1 CO2e '[kg CO2e']]],Fuhrpark[[#This Row],[Scope 2 CO2e market-based '[kg CO2e']]],Fuhrpark[[#This Row],[Scope 3 CO2e '[kg CO2e']]]))</f>
        <v/>
      </c>
      <c r="N128" s="409"/>
      <c r="O128" s="94" t="str">
        <f>IF(ISBLANK(Fuhrpark[[#This Row],[Emissionsquelle/Aktivität (Dropdown)]]),"",CONCATENATE(Fuhrpark[[#This Row],[Sektor_Thema]]," - ",Fuhrpark[[#This Row],[Emissionsquelle/Aktivität (Dropdown)]]))</f>
        <v/>
      </c>
      <c r="P128" s="94" t="str">
        <f>IF(ISBLANK(Fuhrpark[[#This Row],[Emissionsquelle/Aktivität (Dropdown)]]),"",AND(Fuhrpark[[#This Row],[Emissionsquelle/Aktivität (Dropdown)]]="Strom (externes laden, Deutschland)",ISNUMBER(Fuhrpark[[#This Row],[Scope-2-Emissionsfaktor Vertragsstrommix
'[g CO2e/kWh']
(falls verfügbar)]])))</f>
        <v/>
      </c>
      <c r="Q128" s="94" t="str">
        <f>IFERROR(VLOOKUP(Fuhrpark[[#This Row],[Thema_Bezeichung]],EFs_Fuhrpark[],5,FALSE),"")</f>
        <v/>
      </c>
      <c r="R128" s="94" t="str">
        <f>IFERROR(VLOOKUP(Fuhrpark[[#This Row],[Thema_Bezeichung]],EFs_Fuhrpark[],6,FALSE),"")</f>
        <v/>
      </c>
      <c r="S128" s="94" t="str">
        <f>IFERROR(VLOOKUP(Fuhrpark[[#This Row],[Thema_Bezeichung]],EFs_Fuhrpark[],7,FALSE),"")</f>
        <v/>
      </c>
      <c r="T128" s="94" t="str">
        <f>IFERROR(VLOOKUP(Fuhrpark[[#This Row],[Thema_Bezeichung]],EFs_Fuhrpark[],8,FALSE),"")</f>
        <v/>
      </c>
      <c r="U128" s="94" t="str">
        <f>IFERROR(VLOOKUP(Fuhrpark[[#This Row],[Thema_Bezeichung]],EFs_Fuhrpark[],9,FALSE),"")</f>
        <v/>
      </c>
      <c r="V128" s="94" t="str">
        <f>IFERROR(VLOOKUP(Fuhrpark[[#This Row],[Thema_Bezeichung]],EFs_Fuhrpark[],10,FALSE),"")</f>
        <v/>
      </c>
      <c r="W128" s="94" t="str">
        <f>IFERROR(VLOOKUP(Fuhrpark[[#This Row],[Thema_Bezeichung]],EFs_Fuhrpark[],11,FALSE),"")</f>
        <v/>
      </c>
      <c r="X128" s="94" t="str">
        <f>IFERROR(VLOOKUP(Fuhrpark[[#This Row],[Thema_Bezeichung]],EFs_Fuhrpark[],12,FALSE),"")</f>
        <v/>
      </c>
      <c r="Y128" s="94" t="str">
        <f>IFERROR(VLOOKUP(Fuhrpark[[#This Row],[Thema_Bezeichung]],EFs_Fuhrpark[],13,FALSE),"")</f>
        <v/>
      </c>
      <c r="Z128" s="94" t="str">
        <f>IFERROR(VLOOKUP(Fuhrpark[[#This Row],[Thema_Bezeichung]],EFs_Fuhrpark[],14,FALSE),"")</f>
        <v/>
      </c>
      <c r="AA128" s="94" t="str">
        <f>IFERROR(VLOOKUP(Fuhrpark[[#This Row],[Thema_Bezeichung]],EFs_Fuhrpark[],15,FALSE),"")</f>
        <v/>
      </c>
      <c r="AB128" s="94" t="str">
        <f>IF(Fuhrpark[[#This Row],[Vertragsstrommix angegegeben?]]=TRUE,Fuhrpark[[#This Row],[Scope-2-Emissionsfaktor Vertragsstrommix
'[g CO2e/kWh']
(falls verfügbar)]]/1000,IFERROR(VLOOKUP(Fuhrpark[[#This Row],[Thema_Bezeichung]],EFs_Fuhrpark[],15,FALSE),""))</f>
        <v/>
      </c>
      <c r="AC128" s="94" t="str">
        <f>IFERROR(VLOOKUP(Fuhrpark[[#This Row],[Thema_Bezeichung]],EFs_Fuhrpark[],16,FALSE),"")</f>
        <v/>
      </c>
      <c r="AD128" s="94" t="str">
        <f>IFERROR(VLOOKUP(Fuhrpark[[#This Row],[Thema_Bezeichung]],EFs_Fuhrpark[],17,FALSE),"")</f>
        <v/>
      </c>
      <c r="AE128" s="94" t="str">
        <f>IFERROR(VLOOKUP(Fuhrpark[[#This Row],[Thema_Bezeichung]],EFs_Fuhrpark[],18,FALSE),"")</f>
        <v/>
      </c>
      <c r="AF128" s="94" t="str">
        <f>IFERROR(VLOOKUP(Fuhrpark[[#This Row],[Thema_Bezeichung]],EFs_Fuhrpark[],19,FALSE),"")</f>
        <v/>
      </c>
      <c r="AG128" s="94" t="str">
        <f>IFERROR(VLOOKUP(Fuhrpark[[#This Row],[Thema_Bezeichung]],EFs_Fuhrpark[],20,FALSE),"")</f>
        <v/>
      </c>
      <c r="AH128" s="94" t="str">
        <f>IFERROR(VLOOKUP(Fuhrpark[[#This Row],[Thema_Bezeichung]],EFs_Fuhrpark[],21,FALSE),"")</f>
        <v/>
      </c>
      <c r="AI128" s="94" t="str">
        <f>IFERROR(VLOOKUP(Fuhrpark[[#This Row],[Thema_Bezeichung]],EFs_Fuhrpark[],22,FALSE),"")</f>
        <v/>
      </c>
      <c r="AJ128" s="94" t="str">
        <f>IFERROR(VLOOKUP(Fuhrpark[[#This Row],[Thema_Bezeichung]],EFs_Fuhrpark[],23,FALSE),"")</f>
        <v/>
      </c>
      <c r="AK128" s="94" t="str">
        <f>IFERROR(VLOOKUP(Fuhrpark[[#This Row],[Thema_Bezeichung]],EFs_Fuhrpark[],24,FALSE),"")</f>
        <v/>
      </c>
      <c r="AL128" s="94" t="str">
        <f>IFERROR(Fuhrpark[[#This Row],[Wert 
(Zahl)]]*Fuhrpark[[#This Row],[EF Scope 1 CO2e
(kg CO2e/Einheit)]],"")</f>
        <v/>
      </c>
      <c r="AM128" s="94" t="str">
        <f>IFERROR(Fuhrpark[[#This Row],[Wert 
(Zahl)]]*Fuhrpark[[#This Row],[EF Scope 2 CO2e
(kg CO2e/Einheit)]],"")</f>
        <v/>
      </c>
      <c r="AN128" s="94" t="str">
        <f>IFERROR(Fuhrpark[[#This Row],[Wert 
(Zahl)]]*Fuhrpark[[#This Row],[EF Scope 3 CO2e
(kg CO2e/Einheit)]],"")</f>
        <v/>
      </c>
      <c r="AO128" s="94" t="str">
        <f>IFERROR(Fuhrpark[[#This Row],[Wert 
(Zahl)]]*Fuhrpark[[#This Row],[EF Scope 1 CO2 biogen
(kg CO2 /Einheit)]],"")</f>
        <v/>
      </c>
      <c r="AP128" s="94" t="str">
        <f>IFERROR(Fuhrpark[[#This Row],[Wert 
(Zahl)]]*Fuhrpark[[#This Row],[Scope 2 Emissionsfaktor market-based '[kg CO2e/Einheit']]],"")</f>
        <v/>
      </c>
      <c r="AQ128" s="94" t="str">
        <f>IFERROR(Fuhrpark[[#This Row],[Wert 
(Zahl)]]*Fuhrpark[[#This Row],[EF Scope 1 CO2
(kg CO2/Einheit)]],"")</f>
        <v/>
      </c>
      <c r="AR128" s="94" t="str">
        <f>IFERROR(Fuhrpark[[#This Row],[Wert 
(Zahl)]]*Fuhrpark[[#This Row],[EF Scope 1 CH4
(kg CH4/Einheit)]],"")</f>
        <v/>
      </c>
      <c r="AS128" s="94" t="str">
        <f>IFERROR(Fuhrpark[[#This Row],[Wert 
(Zahl)]]*Fuhrpark[[#This Row],[EF Scope 1 N2O
(kg N2O/Einheit)]],"")</f>
        <v/>
      </c>
      <c r="AT128" s="94" t="str">
        <f>IFERROR(Fuhrpark[[#This Row],[Wert 
(Zahl)]]*Fuhrpark[[#This Row],[EF Scope 1 HFCs
(kg HFCs/Einheit)]],"")</f>
        <v/>
      </c>
      <c r="AU128" s="94" t="str">
        <f>IFERROR(Fuhrpark[[#This Row],[Wert 
(Zahl)]]*Fuhrpark[[#This Row],[EF Scope 1 PFCs
(kg PFCs/Einheit)]],"")</f>
        <v/>
      </c>
      <c r="AV128" s="94" t="str">
        <f>IFERROR(Fuhrpark[[#This Row],[Wert 
(Zahl)]]*Fuhrpark[[#This Row],[EF Scope 1 SF6
(kg SF6/Einheit)]],"")</f>
        <v/>
      </c>
      <c r="AW128" s="94" t="str">
        <f>IFERROR(Fuhrpark[[#This Row],[Wert 
(Zahl)]]*Fuhrpark[[#This Row],[EF Scope 1 NF3
(kg NF3/Einheit)]],"")</f>
        <v/>
      </c>
      <c r="AX128" s="94" t="str">
        <f>IFERROR(Fuhrpark[[#This Row],[Wert 
(Zahl)]]*Fuhrpark[[#This Row],[EF Scope 1 Nicht-Kyoto-Gase (kg Nicht-Kyoto-Gase/Einheit)]],"")</f>
        <v/>
      </c>
      <c r="AY128" s="94" t="str">
        <f>IFERROR(Fuhrpark[[#This Row],[Wert 
(Zahl)]]*Fuhrpark[[#This Row],[EF Scope 2 CO2
(kg CO2/Einheit)]],"")</f>
        <v/>
      </c>
      <c r="AZ128" s="94" t="str">
        <f>IFERROR(Fuhrpark[[#This Row],[Wert 
(Zahl)]]*Fuhrpark[[#This Row],[EF Scope 2 CH4
(kg CH4/Einheit)]],"")</f>
        <v/>
      </c>
      <c r="BA128" s="94" t="str">
        <f>IFERROR(Fuhrpark[[#This Row],[Wert 
(Zahl)]]*Fuhrpark[[#This Row],[EF Scope 2 N2O
(kg N2O/Einheit)]],"")</f>
        <v/>
      </c>
      <c r="BB128" s="94" t="str">
        <f>IFERROR(Fuhrpark[[#This Row],[Wert 
(Zahl)]]*Fuhrpark[[#This Row],[EF Scope 2 HFCs
(kg HFCs/Einheit)]],"")</f>
        <v/>
      </c>
      <c r="BC128" s="94" t="str">
        <f>IFERROR(Fuhrpark[[#This Row],[Wert 
(Zahl)]]*Fuhrpark[[#This Row],[EF Scope 2 PFCs
(kg PFCs/Einheit)]],"")</f>
        <v/>
      </c>
      <c r="BD128" s="94" t="str">
        <f>IFERROR(Fuhrpark[[#This Row],[Wert 
(Zahl)]]*Fuhrpark[[#This Row],[EF Scope 2 SF6
(kg SF6/Einheit)]],"")</f>
        <v/>
      </c>
      <c r="BE128" s="94" t="str">
        <f>IFERROR(Fuhrpark[[#This Row],[Wert 
(Zahl)]]*Fuhrpark[[#This Row],[EF Scope 2 NF3
(kg NF3/Einheit)]],"")</f>
        <v/>
      </c>
      <c r="BF128" s="94" t="str">
        <f>IFERROR(Fuhrpark[[#This Row],[Wert 
(Zahl)]]*Fuhrpark[[#This Row],[EF Scope 2 Nicht-Kyoto-Gase (kg Nicht-Kyoto-Gase/Einheit)]],"")</f>
        <v/>
      </c>
      <c r="BG128" s="94" t="str">
        <f>IF(ISBLANK(Fuhrpark[[#This Row],[Wert 
(Zahl)]]),"",IFERROR(Fuhrpark[[#This Row],[Scope 1 CO2 '[kg CO2']]]*IFERROR(VLOOKUP("CO2",GWP_100[],3,FALSE),0),0))</f>
        <v/>
      </c>
      <c r="BH128" s="94" t="str">
        <f>IF(ISBLANK(Fuhrpark[[#This Row],[Wert 
(Zahl)]]),"",IFERROR(Fuhrpark[[#This Row],[Scope 1 CH4 '[kg CH4']]]*IFERROR(VLOOKUP("CH4",GWP_100[],4,FALSE),0),0))</f>
        <v/>
      </c>
      <c r="BI128" s="94" t="str">
        <f>IF(ISBLANK(Fuhrpark[[#This Row],[Wert 
(Zahl)]]),"",IFERROR(Fuhrpark[[#This Row],[Scope 1 N2O '[kg N2O']]]*IFERROR(VLOOKUP("N2O",GWP_100[],5,FALSE),0),0))</f>
        <v/>
      </c>
      <c r="BJ128" s="94" t="str">
        <f>IF(ISBLANK(Fuhrpark[[#This Row],[Wert 
(Zahl)]]),"",IFERROR(Fuhrpark[[#This Row],[Scope 1 HFCs '[kg HFCs']]]*IFERROR(VLOOKUP(Fuhrpark[[#This Row],[Emissionsquelle/Aktivität (Dropdown)]],GWP_100[],6,FALSE),0),0))</f>
        <v/>
      </c>
      <c r="BK128" s="94" t="str">
        <f>IF(ISBLANK(Fuhrpark[[#This Row],[Wert 
(Zahl)]]),"",IFERROR(Fuhrpark[[#This Row],[Scope 1 PFCs '[kg PFCs']]]*IFERROR(VLOOKUP(Fuhrpark[[#This Row],[Emissionsquelle/Aktivität (Dropdown)]],GWP_100[],7,FALSE),0),0))</f>
        <v/>
      </c>
      <c r="BL128" s="94" t="str">
        <f>IF(ISBLANK(Fuhrpark[[#This Row],[Wert 
(Zahl)]]),"",IFERROR(Fuhrpark[[#This Row],[Scope 1 SF6 '[kg SF6']]]*IFERROR(VLOOKUP("SF6",GWP_100[],8,FALSE),0),0))</f>
        <v/>
      </c>
      <c r="BM128" s="94" t="str">
        <f>IF(ISBLANK(Fuhrpark[[#This Row],[Wert 
(Zahl)]]),"",IFERROR(Fuhrpark[[#This Row],[Scope 1 NF3 '[kg NF3']]]*IFERROR(VLOOKUP("NF3",GWP_100[],9,FALSE),0),0))</f>
        <v/>
      </c>
      <c r="BN128" s="94" t="str">
        <f>IF(ISBLANK(Fuhrpark[[#This Row],[Wert 
(Zahl)]]),"",IFERROR(Fuhrpark[[#This Row],[Scope 1 non-Kyoto '[kg non-Kyoto gas']]]*IFERROR(VLOOKUP(Fuhrpark[[#This Row],[Emissionsquelle/Aktivität (Dropdown)]],GWP_100[],10,FALSE),0),0))</f>
        <v/>
      </c>
      <c r="BO128" s="94" t="str">
        <f>IF(ISBLANK(Fuhrpark[[#This Row],[Wert 
(Zahl)]]),"",IFERROR(Fuhrpark[[#This Row],[Scope 2 CO2 '[kg CO2']]]*IFERROR(VLOOKUP("CO2",GWP_100[],3,FALSE),0),0))</f>
        <v/>
      </c>
      <c r="BP128" s="94" t="str">
        <f>IF(ISBLANK(Fuhrpark[[#This Row],[Wert 
(Zahl)]]),"",IFERROR(Fuhrpark[[#This Row],[Scope 2 CH4 '[kg CH4']]]*IFERROR(VLOOKUP("CH4",GWP_100[],4,FALSE),0),0))</f>
        <v/>
      </c>
      <c r="BQ128" s="94" t="str">
        <f>IF(ISBLANK(Fuhrpark[[#This Row],[Wert 
(Zahl)]]),"",IFERROR(Fuhrpark[[#This Row],[Scope 2 N2O '[kg N2O']]]*IFERROR(VLOOKUP("N2O",GWP_100[],5,FALSE),0),0))</f>
        <v/>
      </c>
      <c r="BR128" s="94" t="str">
        <f>IF(ISBLANK(Fuhrpark[[#This Row],[Wert 
(Zahl)]]),"",IFERROR(Fuhrpark[[#This Row],[Scope 2 HFCs '[kg HFCs']]]*IFERROR(VLOOKUP(Fuhrpark[[#This Row],[Emissionsquelle/Aktivität (Dropdown)]],GWP_100[],6,FALSE),0),0))</f>
        <v/>
      </c>
      <c r="BS128" s="94" t="str">
        <f>IF(ISBLANK(Fuhrpark[[#This Row],[Wert 
(Zahl)]]),"",IFERROR(Fuhrpark[[#This Row],[Scope 2 PFCs '[kg PFCs']]]*IFERROR(VLOOKUP(Fuhrpark[[#This Row],[Emissionsquelle/Aktivität (Dropdown)]],GWP_100[],7,FALSE),0),0))</f>
        <v/>
      </c>
      <c r="BT128" s="94" t="str">
        <f>IF(ISBLANK(Fuhrpark[[#This Row],[Wert 
(Zahl)]]),"",IFERROR(Fuhrpark[[#This Row],[Scope 2 SF6 '[kg SF6']]]*IFERROR(VLOOKUP("SF6",GWP_100[],8,FALSE),0),0))</f>
        <v/>
      </c>
      <c r="BU128" s="94" t="str">
        <f>IF(ISBLANK(Fuhrpark[[#This Row],[Wert 
(Zahl)]]),"",IFERROR(Fuhrpark[[#This Row],[Scope 2 NF3 '[kg NF3']]]*IFERROR(VLOOKUP("NF3",GWP_100[],9,FALSE),0),0))</f>
        <v/>
      </c>
      <c r="BV128" s="94" t="str">
        <f>IF(ISBLANK(Fuhrpark[[#This Row],[Wert 
(Zahl)]]),"",IFERROR(Fuhrpark[[#This Row],[Scope 2 non-Kyoto '[kg non-Kyoto gas']]]*IFERROR(VLOOKUP(Fuhrpark[[#This Row],[Emissionsquelle/Aktivität (Dropdown)]],GWP_100[],10,FALSE),0),0))</f>
        <v/>
      </c>
      <c r="BW128"/>
      <c r="BX128"/>
      <c r="BY128"/>
      <c r="BZ128"/>
      <c r="CA128"/>
      <c r="CB128"/>
      <c r="CC128"/>
      <c r="CD128"/>
      <c r="CE128"/>
      <c r="CF128"/>
      <c r="CG128"/>
      <c r="CH128"/>
      <c r="CI128"/>
      <c r="CJ128"/>
      <c r="CK128"/>
      <c r="CL128"/>
      <c r="CM128"/>
      <c r="CN128"/>
    </row>
    <row r="129" spans="2:92" s="89" customFormat="1" ht="15" thickBot="1" x14ac:dyDescent="0.4">
      <c r="B129" s="605"/>
      <c r="C129" s="90" t="str">
        <f t="shared" si="3"/>
        <v>Fuhrpark</v>
      </c>
      <c r="D129" s="90"/>
      <c r="E129" s="90"/>
      <c r="F129" s="288"/>
      <c r="G129" s="90" t="str">
        <f>IFERROR(VLOOKUP(Fuhrpark[[#This Row],[Thema_Bezeichung]],EFs_Fuhrpark[],4,FALSE),"")</f>
        <v/>
      </c>
      <c r="H129" s="90"/>
      <c r="I129" s="90"/>
      <c r="J129" s="90"/>
      <c r="K129" s="90"/>
      <c r="L129" s="290" t="str">
        <f>IF(ISBLANK(Fuhrpark[[#This Row],[Wert 
(Zahl)]]),"", SUM(Fuhrpark[[#This Row],[Scope 1 CO2e '[kg CO2e']]:[Scope 3 CO2e '[kg CO2e']]]))</f>
        <v/>
      </c>
      <c r="M129" s="290" t="str">
        <f>IF(OR(ISBLANK(Fuhrpark[[#This Row],[Wert 
(Zahl)]]),Fuhrpark[[#This Row],[Emissionsquelle/Aktivität (Dropdown)]]&lt;&gt;"Strom (externes Laden, Deutschland)"),"", SUM(Fuhrpark[[#This Row],[Scope 1 CO2e '[kg CO2e']]],Fuhrpark[[#This Row],[Scope 2 CO2e market-based '[kg CO2e']]],Fuhrpark[[#This Row],[Scope 3 CO2e '[kg CO2e']]]))</f>
        <v/>
      </c>
      <c r="N129" s="409"/>
      <c r="O129" s="94" t="str">
        <f>IF(ISBLANK(Fuhrpark[[#This Row],[Emissionsquelle/Aktivität (Dropdown)]]),"",CONCATENATE(Fuhrpark[[#This Row],[Sektor_Thema]]," - ",Fuhrpark[[#This Row],[Emissionsquelle/Aktivität (Dropdown)]]))</f>
        <v/>
      </c>
      <c r="P129" s="94" t="str">
        <f>IF(ISBLANK(Fuhrpark[[#This Row],[Emissionsquelle/Aktivität (Dropdown)]]),"",AND(Fuhrpark[[#This Row],[Emissionsquelle/Aktivität (Dropdown)]]="Strom (externes laden, Deutschland)",ISNUMBER(Fuhrpark[[#This Row],[Scope-2-Emissionsfaktor Vertragsstrommix
'[g CO2e/kWh']
(falls verfügbar)]])))</f>
        <v/>
      </c>
      <c r="Q129" s="94" t="str">
        <f>IFERROR(VLOOKUP(Fuhrpark[[#This Row],[Thema_Bezeichung]],EFs_Fuhrpark[],5,FALSE),"")</f>
        <v/>
      </c>
      <c r="R129" s="94" t="str">
        <f>IFERROR(VLOOKUP(Fuhrpark[[#This Row],[Thema_Bezeichung]],EFs_Fuhrpark[],6,FALSE),"")</f>
        <v/>
      </c>
      <c r="S129" s="94" t="str">
        <f>IFERROR(VLOOKUP(Fuhrpark[[#This Row],[Thema_Bezeichung]],EFs_Fuhrpark[],7,FALSE),"")</f>
        <v/>
      </c>
      <c r="T129" s="94" t="str">
        <f>IFERROR(VLOOKUP(Fuhrpark[[#This Row],[Thema_Bezeichung]],EFs_Fuhrpark[],8,FALSE),"")</f>
        <v/>
      </c>
      <c r="U129" s="94" t="str">
        <f>IFERROR(VLOOKUP(Fuhrpark[[#This Row],[Thema_Bezeichung]],EFs_Fuhrpark[],9,FALSE),"")</f>
        <v/>
      </c>
      <c r="V129" s="94" t="str">
        <f>IFERROR(VLOOKUP(Fuhrpark[[#This Row],[Thema_Bezeichung]],EFs_Fuhrpark[],10,FALSE),"")</f>
        <v/>
      </c>
      <c r="W129" s="94" t="str">
        <f>IFERROR(VLOOKUP(Fuhrpark[[#This Row],[Thema_Bezeichung]],EFs_Fuhrpark[],11,FALSE),"")</f>
        <v/>
      </c>
      <c r="X129" s="94" t="str">
        <f>IFERROR(VLOOKUP(Fuhrpark[[#This Row],[Thema_Bezeichung]],EFs_Fuhrpark[],12,FALSE),"")</f>
        <v/>
      </c>
      <c r="Y129" s="94" t="str">
        <f>IFERROR(VLOOKUP(Fuhrpark[[#This Row],[Thema_Bezeichung]],EFs_Fuhrpark[],13,FALSE),"")</f>
        <v/>
      </c>
      <c r="Z129" s="94" t="str">
        <f>IFERROR(VLOOKUP(Fuhrpark[[#This Row],[Thema_Bezeichung]],EFs_Fuhrpark[],14,FALSE),"")</f>
        <v/>
      </c>
      <c r="AA129" s="94" t="str">
        <f>IFERROR(VLOOKUP(Fuhrpark[[#This Row],[Thema_Bezeichung]],EFs_Fuhrpark[],15,FALSE),"")</f>
        <v/>
      </c>
      <c r="AB129" s="94" t="str">
        <f>IF(Fuhrpark[[#This Row],[Vertragsstrommix angegegeben?]]=TRUE,Fuhrpark[[#This Row],[Scope-2-Emissionsfaktor Vertragsstrommix
'[g CO2e/kWh']
(falls verfügbar)]]/1000,IFERROR(VLOOKUP(Fuhrpark[[#This Row],[Thema_Bezeichung]],EFs_Fuhrpark[],15,FALSE),""))</f>
        <v/>
      </c>
      <c r="AC129" s="94" t="str">
        <f>IFERROR(VLOOKUP(Fuhrpark[[#This Row],[Thema_Bezeichung]],EFs_Fuhrpark[],16,FALSE),"")</f>
        <v/>
      </c>
      <c r="AD129" s="94" t="str">
        <f>IFERROR(VLOOKUP(Fuhrpark[[#This Row],[Thema_Bezeichung]],EFs_Fuhrpark[],17,FALSE),"")</f>
        <v/>
      </c>
      <c r="AE129" s="94" t="str">
        <f>IFERROR(VLOOKUP(Fuhrpark[[#This Row],[Thema_Bezeichung]],EFs_Fuhrpark[],18,FALSE),"")</f>
        <v/>
      </c>
      <c r="AF129" s="94" t="str">
        <f>IFERROR(VLOOKUP(Fuhrpark[[#This Row],[Thema_Bezeichung]],EFs_Fuhrpark[],19,FALSE),"")</f>
        <v/>
      </c>
      <c r="AG129" s="94" t="str">
        <f>IFERROR(VLOOKUP(Fuhrpark[[#This Row],[Thema_Bezeichung]],EFs_Fuhrpark[],20,FALSE),"")</f>
        <v/>
      </c>
      <c r="AH129" s="94" t="str">
        <f>IFERROR(VLOOKUP(Fuhrpark[[#This Row],[Thema_Bezeichung]],EFs_Fuhrpark[],21,FALSE),"")</f>
        <v/>
      </c>
      <c r="AI129" s="94" t="str">
        <f>IFERROR(VLOOKUP(Fuhrpark[[#This Row],[Thema_Bezeichung]],EFs_Fuhrpark[],22,FALSE),"")</f>
        <v/>
      </c>
      <c r="AJ129" s="94" t="str">
        <f>IFERROR(VLOOKUP(Fuhrpark[[#This Row],[Thema_Bezeichung]],EFs_Fuhrpark[],23,FALSE),"")</f>
        <v/>
      </c>
      <c r="AK129" s="94" t="str">
        <f>IFERROR(VLOOKUP(Fuhrpark[[#This Row],[Thema_Bezeichung]],EFs_Fuhrpark[],24,FALSE),"")</f>
        <v/>
      </c>
      <c r="AL129" s="94" t="str">
        <f>IFERROR(Fuhrpark[[#This Row],[Wert 
(Zahl)]]*Fuhrpark[[#This Row],[EF Scope 1 CO2e
(kg CO2e/Einheit)]],"")</f>
        <v/>
      </c>
      <c r="AM129" s="94" t="str">
        <f>IFERROR(Fuhrpark[[#This Row],[Wert 
(Zahl)]]*Fuhrpark[[#This Row],[EF Scope 2 CO2e
(kg CO2e/Einheit)]],"")</f>
        <v/>
      </c>
      <c r="AN129" s="94" t="str">
        <f>IFERROR(Fuhrpark[[#This Row],[Wert 
(Zahl)]]*Fuhrpark[[#This Row],[EF Scope 3 CO2e
(kg CO2e/Einheit)]],"")</f>
        <v/>
      </c>
      <c r="AO129" s="94" t="str">
        <f>IFERROR(Fuhrpark[[#This Row],[Wert 
(Zahl)]]*Fuhrpark[[#This Row],[EF Scope 1 CO2 biogen
(kg CO2 /Einheit)]],"")</f>
        <v/>
      </c>
      <c r="AP129" s="94" t="str">
        <f>IFERROR(Fuhrpark[[#This Row],[Wert 
(Zahl)]]*Fuhrpark[[#This Row],[Scope 2 Emissionsfaktor market-based '[kg CO2e/Einheit']]],"")</f>
        <v/>
      </c>
      <c r="AQ129" s="94" t="str">
        <f>IFERROR(Fuhrpark[[#This Row],[Wert 
(Zahl)]]*Fuhrpark[[#This Row],[EF Scope 1 CO2
(kg CO2/Einheit)]],"")</f>
        <v/>
      </c>
      <c r="AR129" s="94" t="str">
        <f>IFERROR(Fuhrpark[[#This Row],[Wert 
(Zahl)]]*Fuhrpark[[#This Row],[EF Scope 1 CH4
(kg CH4/Einheit)]],"")</f>
        <v/>
      </c>
      <c r="AS129" s="94" t="str">
        <f>IFERROR(Fuhrpark[[#This Row],[Wert 
(Zahl)]]*Fuhrpark[[#This Row],[EF Scope 1 N2O
(kg N2O/Einheit)]],"")</f>
        <v/>
      </c>
      <c r="AT129" s="94" t="str">
        <f>IFERROR(Fuhrpark[[#This Row],[Wert 
(Zahl)]]*Fuhrpark[[#This Row],[EF Scope 1 HFCs
(kg HFCs/Einheit)]],"")</f>
        <v/>
      </c>
      <c r="AU129" s="94" t="str">
        <f>IFERROR(Fuhrpark[[#This Row],[Wert 
(Zahl)]]*Fuhrpark[[#This Row],[EF Scope 1 PFCs
(kg PFCs/Einheit)]],"")</f>
        <v/>
      </c>
      <c r="AV129" s="94" t="str">
        <f>IFERROR(Fuhrpark[[#This Row],[Wert 
(Zahl)]]*Fuhrpark[[#This Row],[EF Scope 1 SF6
(kg SF6/Einheit)]],"")</f>
        <v/>
      </c>
      <c r="AW129" s="94" t="str">
        <f>IFERROR(Fuhrpark[[#This Row],[Wert 
(Zahl)]]*Fuhrpark[[#This Row],[EF Scope 1 NF3
(kg NF3/Einheit)]],"")</f>
        <v/>
      </c>
      <c r="AX129" s="94" t="str">
        <f>IFERROR(Fuhrpark[[#This Row],[Wert 
(Zahl)]]*Fuhrpark[[#This Row],[EF Scope 1 Nicht-Kyoto-Gase (kg Nicht-Kyoto-Gase/Einheit)]],"")</f>
        <v/>
      </c>
      <c r="AY129" s="94" t="str">
        <f>IFERROR(Fuhrpark[[#This Row],[Wert 
(Zahl)]]*Fuhrpark[[#This Row],[EF Scope 2 CO2
(kg CO2/Einheit)]],"")</f>
        <v/>
      </c>
      <c r="AZ129" s="94" t="str">
        <f>IFERROR(Fuhrpark[[#This Row],[Wert 
(Zahl)]]*Fuhrpark[[#This Row],[EF Scope 2 CH4
(kg CH4/Einheit)]],"")</f>
        <v/>
      </c>
      <c r="BA129" s="94" t="str">
        <f>IFERROR(Fuhrpark[[#This Row],[Wert 
(Zahl)]]*Fuhrpark[[#This Row],[EF Scope 2 N2O
(kg N2O/Einheit)]],"")</f>
        <v/>
      </c>
      <c r="BB129" s="94" t="str">
        <f>IFERROR(Fuhrpark[[#This Row],[Wert 
(Zahl)]]*Fuhrpark[[#This Row],[EF Scope 2 HFCs
(kg HFCs/Einheit)]],"")</f>
        <v/>
      </c>
      <c r="BC129" s="94" t="str">
        <f>IFERROR(Fuhrpark[[#This Row],[Wert 
(Zahl)]]*Fuhrpark[[#This Row],[EF Scope 2 PFCs
(kg PFCs/Einheit)]],"")</f>
        <v/>
      </c>
      <c r="BD129" s="94" t="str">
        <f>IFERROR(Fuhrpark[[#This Row],[Wert 
(Zahl)]]*Fuhrpark[[#This Row],[EF Scope 2 SF6
(kg SF6/Einheit)]],"")</f>
        <v/>
      </c>
      <c r="BE129" s="94" t="str">
        <f>IFERROR(Fuhrpark[[#This Row],[Wert 
(Zahl)]]*Fuhrpark[[#This Row],[EF Scope 2 NF3
(kg NF3/Einheit)]],"")</f>
        <v/>
      </c>
      <c r="BF129" s="94" t="str">
        <f>IFERROR(Fuhrpark[[#This Row],[Wert 
(Zahl)]]*Fuhrpark[[#This Row],[EF Scope 2 Nicht-Kyoto-Gase (kg Nicht-Kyoto-Gase/Einheit)]],"")</f>
        <v/>
      </c>
      <c r="BG129" s="94" t="str">
        <f>IF(ISBLANK(Fuhrpark[[#This Row],[Wert 
(Zahl)]]),"",IFERROR(Fuhrpark[[#This Row],[Scope 1 CO2 '[kg CO2']]]*IFERROR(VLOOKUP("CO2",GWP_100[],3,FALSE),0),0))</f>
        <v/>
      </c>
      <c r="BH129" s="94" t="str">
        <f>IF(ISBLANK(Fuhrpark[[#This Row],[Wert 
(Zahl)]]),"",IFERROR(Fuhrpark[[#This Row],[Scope 1 CH4 '[kg CH4']]]*IFERROR(VLOOKUP("CH4",GWP_100[],4,FALSE),0),0))</f>
        <v/>
      </c>
      <c r="BI129" s="94" t="str">
        <f>IF(ISBLANK(Fuhrpark[[#This Row],[Wert 
(Zahl)]]),"",IFERROR(Fuhrpark[[#This Row],[Scope 1 N2O '[kg N2O']]]*IFERROR(VLOOKUP("N2O",GWP_100[],5,FALSE),0),0))</f>
        <v/>
      </c>
      <c r="BJ129" s="94" t="str">
        <f>IF(ISBLANK(Fuhrpark[[#This Row],[Wert 
(Zahl)]]),"",IFERROR(Fuhrpark[[#This Row],[Scope 1 HFCs '[kg HFCs']]]*IFERROR(VLOOKUP(Fuhrpark[[#This Row],[Emissionsquelle/Aktivität (Dropdown)]],GWP_100[],6,FALSE),0),0))</f>
        <v/>
      </c>
      <c r="BK129" s="94" t="str">
        <f>IF(ISBLANK(Fuhrpark[[#This Row],[Wert 
(Zahl)]]),"",IFERROR(Fuhrpark[[#This Row],[Scope 1 PFCs '[kg PFCs']]]*IFERROR(VLOOKUP(Fuhrpark[[#This Row],[Emissionsquelle/Aktivität (Dropdown)]],GWP_100[],7,FALSE),0),0))</f>
        <v/>
      </c>
      <c r="BL129" s="94" t="str">
        <f>IF(ISBLANK(Fuhrpark[[#This Row],[Wert 
(Zahl)]]),"",IFERROR(Fuhrpark[[#This Row],[Scope 1 SF6 '[kg SF6']]]*IFERROR(VLOOKUP("SF6",GWP_100[],8,FALSE),0),0))</f>
        <v/>
      </c>
      <c r="BM129" s="94" t="str">
        <f>IF(ISBLANK(Fuhrpark[[#This Row],[Wert 
(Zahl)]]),"",IFERROR(Fuhrpark[[#This Row],[Scope 1 NF3 '[kg NF3']]]*IFERROR(VLOOKUP("NF3",GWP_100[],9,FALSE),0),0))</f>
        <v/>
      </c>
      <c r="BN129" s="94" t="str">
        <f>IF(ISBLANK(Fuhrpark[[#This Row],[Wert 
(Zahl)]]),"",IFERROR(Fuhrpark[[#This Row],[Scope 1 non-Kyoto '[kg non-Kyoto gas']]]*IFERROR(VLOOKUP(Fuhrpark[[#This Row],[Emissionsquelle/Aktivität (Dropdown)]],GWP_100[],10,FALSE),0),0))</f>
        <v/>
      </c>
      <c r="BO129" s="94" t="str">
        <f>IF(ISBLANK(Fuhrpark[[#This Row],[Wert 
(Zahl)]]),"",IFERROR(Fuhrpark[[#This Row],[Scope 2 CO2 '[kg CO2']]]*IFERROR(VLOOKUP("CO2",GWP_100[],3,FALSE),0),0))</f>
        <v/>
      </c>
      <c r="BP129" s="94" t="str">
        <f>IF(ISBLANK(Fuhrpark[[#This Row],[Wert 
(Zahl)]]),"",IFERROR(Fuhrpark[[#This Row],[Scope 2 CH4 '[kg CH4']]]*IFERROR(VLOOKUP("CH4",GWP_100[],4,FALSE),0),0))</f>
        <v/>
      </c>
      <c r="BQ129" s="94" t="str">
        <f>IF(ISBLANK(Fuhrpark[[#This Row],[Wert 
(Zahl)]]),"",IFERROR(Fuhrpark[[#This Row],[Scope 2 N2O '[kg N2O']]]*IFERROR(VLOOKUP("N2O",GWP_100[],5,FALSE),0),0))</f>
        <v/>
      </c>
      <c r="BR129" s="94" t="str">
        <f>IF(ISBLANK(Fuhrpark[[#This Row],[Wert 
(Zahl)]]),"",IFERROR(Fuhrpark[[#This Row],[Scope 2 HFCs '[kg HFCs']]]*IFERROR(VLOOKUP(Fuhrpark[[#This Row],[Emissionsquelle/Aktivität (Dropdown)]],GWP_100[],6,FALSE),0),0))</f>
        <v/>
      </c>
      <c r="BS129" s="94" t="str">
        <f>IF(ISBLANK(Fuhrpark[[#This Row],[Wert 
(Zahl)]]),"",IFERROR(Fuhrpark[[#This Row],[Scope 2 PFCs '[kg PFCs']]]*IFERROR(VLOOKUP(Fuhrpark[[#This Row],[Emissionsquelle/Aktivität (Dropdown)]],GWP_100[],7,FALSE),0),0))</f>
        <v/>
      </c>
      <c r="BT129" s="94" t="str">
        <f>IF(ISBLANK(Fuhrpark[[#This Row],[Wert 
(Zahl)]]),"",IFERROR(Fuhrpark[[#This Row],[Scope 2 SF6 '[kg SF6']]]*IFERROR(VLOOKUP("SF6",GWP_100[],8,FALSE),0),0))</f>
        <v/>
      </c>
      <c r="BU129" s="94" t="str">
        <f>IF(ISBLANK(Fuhrpark[[#This Row],[Wert 
(Zahl)]]),"",IFERROR(Fuhrpark[[#This Row],[Scope 2 NF3 '[kg NF3']]]*IFERROR(VLOOKUP("NF3",GWP_100[],9,FALSE),0),0))</f>
        <v/>
      </c>
      <c r="BV129" s="94" t="str">
        <f>IF(ISBLANK(Fuhrpark[[#This Row],[Wert 
(Zahl)]]),"",IFERROR(Fuhrpark[[#This Row],[Scope 2 non-Kyoto '[kg non-Kyoto gas']]]*IFERROR(VLOOKUP(Fuhrpark[[#This Row],[Emissionsquelle/Aktivität (Dropdown)]],GWP_100[],10,FALSE),0),0))</f>
        <v/>
      </c>
      <c r="BW129"/>
      <c r="BX129"/>
      <c r="BY129"/>
      <c r="BZ129"/>
      <c r="CA129"/>
      <c r="CB129"/>
      <c r="CC129"/>
      <c r="CD129"/>
      <c r="CE129"/>
      <c r="CF129"/>
      <c r="CG129"/>
      <c r="CH129"/>
      <c r="CI129"/>
      <c r="CJ129"/>
      <c r="CK129"/>
      <c r="CL129"/>
      <c r="CM129"/>
      <c r="CN129"/>
    </row>
    <row r="130" spans="2:92" s="2" customFormat="1" ht="15" thickTop="1" x14ac:dyDescent="0.35">
      <c r="B130" s="13"/>
      <c r="D130" s="2" t="s">
        <v>204</v>
      </c>
      <c r="L130" s="291">
        <f>SUBTOTAL(109,Fuhrpark[Ergebnis
'[kg CO2e']
(vorausgefüllt)])</f>
        <v>0</v>
      </c>
      <c r="M130" s="713">
        <f>SUBTOTAL(109,Fuhrpark[Ergebnis Scope 2 market-based
'[kg CO2e']
(vorausgefüllt)])</f>
        <v>0</v>
      </c>
      <c r="N130" s="410"/>
      <c r="AL130" s="2">
        <f>SUBTOTAL(109,Fuhrpark[Scope 1 CO2e '[kg CO2e']])</f>
        <v>0</v>
      </c>
      <c r="AM130" s="2">
        <f>SUBTOTAL(109,Fuhrpark[Scope 2 CO2e '[kg CO2e']])</f>
        <v>0</v>
      </c>
      <c r="AN130" s="2">
        <f>SUBTOTAL(109,Fuhrpark[Scope 3 CO2e '[kg CO2e']])</f>
        <v>0</v>
      </c>
      <c r="AO130" s="2">
        <f>SUBTOTAL(109,Fuhrpark[Scope 1 CO2 biogen '[kg CO2']])</f>
        <v>0</v>
      </c>
      <c r="AP130" s="2">
        <f>SUBTOTAL(109,Fuhrpark[Scope 2 CO2e market-based '[kg CO2e']])</f>
        <v>0</v>
      </c>
      <c r="AQ130" s="2">
        <f>SUBTOTAL(109,Fuhrpark[Scope 1 CO2 '[kg CO2']])</f>
        <v>0</v>
      </c>
      <c r="AR130" s="2">
        <f>SUBTOTAL(109,Fuhrpark[Scope 1 CH4 '[kg CH4']])</f>
        <v>0</v>
      </c>
      <c r="AS130" s="2">
        <f>SUBTOTAL(109,Fuhrpark[Scope 1 N2O '[kg N2O']])</f>
        <v>0</v>
      </c>
      <c r="AT130" s="2">
        <f>SUBTOTAL(109,Fuhrpark[Scope 1 HFCs '[kg HFCs']])</f>
        <v>0</v>
      </c>
      <c r="AU130" s="2">
        <f>SUBTOTAL(109,Fuhrpark[Scope 1 PFCs '[kg PFCs']])</f>
        <v>0</v>
      </c>
      <c r="AV130" s="2">
        <f>SUBTOTAL(109,Fuhrpark[Scope 1 SF6 '[kg SF6']])</f>
        <v>0</v>
      </c>
      <c r="AW130" s="2">
        <f>SUBTOTAL(109,Fuhrpark[Scope 1 NF3 '[kg NF3']])</f>
        <v>0</v>
      </c>
      <c r="AX130" s="2">
        <f>SUBTOTAL(109,Fuhrpark[Scope 1 non-Kyoto '[kg non-Kyoto gas']])</f>
        <v>0</v>
      </c>
      <c r="AY130" s="2">
        <f>SUBTOTAL(109,Fuhrpark[Scope 2 CO2 '[kg CO2']])</f>
        <v>0</v>
      </c>
      <c r="AZ130" s="2">
        <f>SUBTOTAL(109,Fuhrpark[Scope 2 CH4 '[kg CH4']])</f>
        <v>0</v>
      </c>
      <c r="BA130" s="2">
        <f>SUBTOTAL(109,Fuhrpark[Scope 2 N2O '[kg N2O']])</f>
        <v>0</v>
      </c>
      <c r="BB130" s="2">
        <f>SUBTOTAL(109,Fuhrpark[Scope 2 HFCs '[kg HFCs']])</f>
        <v>0</v>
      </c>
      <c r="BC130" s="2">
        <f>SUBTOTAL(109,Fuhrpark[Scope 2 PFCs '[kg PFCs']])</f>
        <v>0</v>
      </c>
      <c r="BD130" s="2">
        <f>SUBTOTAL(109,Fuhrpark[Scope 2 SF6 '[kg SF6']])</f>
        <v>0</v>
      </c>
      <c r="BE130" s="2">
        <f>SUBTOTAL(109,Fuhrpark[Scope 2 NF3 '[kg NF3']])</f>
        <v>0</v>
      </c>
      <c r="BF130" s="2">
        <f>SUBTOTAL(109,Fuhrpark[Scope 2 non-Kyoto '[kg non-Kyoto gas']])</f>
        <v>0</v>
      </c>
      <c r="BG130" s="2">
        <f>SUBTOTAL(109,Fuhrpark[Scope 1 CO2 '[kg CO2e']])</f>
        <v>0</v>
      </c>
      <c r="BH130" s="2">
        <f>SUBTOTAL(109,Fuhrpark[Scope 1 CH4 '[kg CO2e']])</f>
        <v>0</v>
      </c>
      <c r="BI130" s="2">
        <f>SUBTOTAL(109,Fuhrpark[Scope 1 N2O '[kg CO2e']])</f>
        <v>0</v>
      </c>
      <c r="BJ130" s="2">
        <f>SUBTOTAL(109,Fuhrpark[Scope 1 HFCs '[kg CO2e']])</f>
        <v>0</v>
      </c>
      <c r="BK130" s="2">
        <f>SUBTOTAL(109,Fuhrpark[Scope 1 PFCs '[kg CO2e']])</f>
        <v>0</v>
      </c>
      <c r="BL130" s="2">
        <f>SUBTOTAL(109,Fuhrpark[Scope 1 SF6 '[kg CO2e']])</f>
        <v>0</v>
      </c>
      <c r="BM130" s="2">
        <f>SUBTOTAL(109,Fuhrpark[Scope 1 NF3 '[kg CO2e']])</f>
        <v>0</v>
      </c>
      <c r="BN130" s="2">
        <f>SUBTOTAL(109,Fuhrpark[Scope 1 non-Kyoto '[kg CO2e']])</f>
        <v>0</v>
      </c>
      <c r="BO130" s="2">
        <f>SUBTOTAL(109,Fuhrpark[Scope 2 CO2 '[kg CO2e']])</f>
        <v>0</v>
      </c>
      <c r="BP130" s="2">
        <f>SUBTOTAL(109,Fuhrpark[Scope 2 CH4 '[kg CO2e']])</f>
        <v>0</v>
      </c>
      <c r="BQ130" s="2">
        <f>SUBTOTAL(109,Fuhrpark[Scope 2 N2O '[kg CO2e']])</f>
        <v>0</v>
      </c>
      <c r="BR130" s="2">
        <f>SUBTOTAL(109,Fuhrpark[Scope 2 HFCs '[kg CO2e']])</f>
        <v>0</v>
      </c>
      <c r="BS130" s="2">
        <f>SUBTOTAL(109,Fuhrpark[Scope 2 PFCs '[kg CO2e']])</f>
        <v>0</v>
      </c>
      <c r="BT130" s="2">
        <f>SUBTOTAL(109,Fuhrpark[Scope 2 SF6 '[kg CO2e']])</f>
        <v>0</v>
      </c>
      <c r="BU130" s="2">
        <f>SUBTOTAL(109,Fuhrpark[Scope 2 NF3 '[kg CO2e']])</f>
        <v>0</v>
      </c>
      <c r="BV130" s="2">
        <f>SUBTOTAL(109,Fuhrpark[Scope 2 non-Kyoto '[kg CO2e']])</f>
        <v>0</v>
      </c>
      <c r="BW130"/>
      <c r="BX130"/>
      <c r="BY130"/>
      <c r="BZ130"/>
      <c r="CA130"/>
      <c r="CB130"/>
      <c r="CC130"/>
      <c r="CD130"/>
      <c r="CE130"/>
      <c r="CF130"/>
      <c r="CG130"/>
      <c r="CH130"/>
      <c r="CI130"/>
      <c r="CJ130"/>
      <c r="CK130"/>
      <c r="CL130"/>
      <c r="CM130"/>
      <c r="CN130"/>
    </row>
    <row r="131" spans="2:92" ht="120" customHeight="1" x14ac:dyDescent="0.35">
      <c r="B131" s="183" t="s">
        <v>79</v>
      </c>
      <c r="C131" s="81"/>
      <c r="D131" s="81"/>
      <c r="E131" s="11"/>
      <c r="F131" s="11"/>
      <c r="G131" s="11"/>
      <c r="H131" s="11"/>
      <c r="I131" s="11"/>
      <c r="L131" s="161"/>
    </row>
    <row r="132" spans="2:92" x14ac:dyDescent="0.35">
      <c r="B132" s="127" t="s">
        <v>80</v>
      </c>
      <c r="L132" s="161"/>
      <c r="AP132" s="89"/>
      <c r="AQ132" s="89"/>
      <c r="AR132" s="89"/>
      <c r="AS132" s="89"/>
      <c r="AT132" s="89"/>
      <c r="AU132" s="89"/>
      <c r="AV132" s="89"/>
      <c r="AW132" s="89"/>
      <c r="AX132" s="89"/>
      <c r="AY132" s="89"/>
      <c r="AZ132" s="89"/>
      <c r="BA132" s="89"/>
      <c r="BB132" s="89"/>
      <c r="BC132" s="89"/>
      <c r="BD132" s="89"/>
      <c r="BE132" s="89"/>
      <c r="BF132" s="89"/>
      <c r="BG132" s="89"/>
      <c r="BH132" s="89"/>
      <c r="BI132" s="89"/>
      <c r="BJ132" s="89"/>
      <c r="BK132" s="89"/>
      <c r="BL132" s="89"/>
      <c r="BM132" s="89"/>
      <c r="BN132" s="89"/>
      <c r="BO132" s="89"/>
      <c r="BP132" s="89"/>
      <c r="BQ132" s="89"/>
    </row>
    <row r="133" spans="2:92" ht="18.5" x14ac:dyDescent="0.45">
      <c r="B133" s="126" t="s">
        <v>18</v>
      </c>
      <c r="L133" s="161"/>
      <c r="AP133" s="89"/>
      <c r="AQ133" s="89"/>
      <c r="AR133" s="89"/>
      <c r="AS133" s="89"/>
      <c r="AT133" s="89"/>
      <c r="AU133" s="89"/>
      <c r="AV133" s="89"/>
      <c r="AW133" s="89"/>
      <c r="AX133" s="89"/>
      <c r="AY133" s="89"/>
      <c r="AZ133" s="89"/>
      <c r="BA133" s="89"/>
      <c r="BB133" s="89"/>
      <c r="BC133" s="89"/>
      <c r="BD133" s="89"/>
      <c r="BE133" s="89"/>
      <c r="BF133" s="89"/>
      <c r="BG133" s="89"/>
      <c r="BH133" s="89"/>
      <c r="BI133" s="89"/>
      <c r="BJ133" s="89"/>
      <c r="BK133" s="89"/>
      <c r="BL133" s="89"/>
      <c r="BM133" s="89"/>
      <c r="BN133" s="89"/>
      <c r="BO133" s="89"/>
      <c r="BP133" s="89"/>
      <c r="BQ133" s="89"/>
    </row>
    <row r="134" spans="2:92" ht="133" customHeight="1" x14ac:dyDescent="0.35">
      <c r="B134" s="276" t="s">
        <v>81</v>
      </c>
      <c r="C134" s="277"/>
      <c r="D134" s="601" t="s">
        <v>617</v>
      </c>
      <c r="E134" s="601"/>
      <c r="F134" s="601"/>
      <c r="G134" s="601"/>
      <c r="H134" s="601"/>
      <c r="I134" s="602"/>
      <c r="L134" s="478"/>
      <c r="M134" s="478" t="s">
        <v>604</v>
      </c>
      <c r="AP134" s="89"/>
      <c r="AQ134" s="89"/>
      <c r="AR134" s="89"/>
      <c r="AS134" s="89"/>
      <c r="AT134" s="89"/>
      <c r="AU134" s="89"/>
      <c r="AV134" s="89"/>
      <c r="AW134" s="89"/>
      <c r="AX134" s="89"/>
      <c r="AY134" s="89"/>
      <c r="AZ134" s="89"/>
      <c r="BA134" s="89"/>
      <c r="BB134" s="89"/>
      <c r="BC134" s="89"/>
      <c r="BD134" s="89"/>
      <c r="BE134" s="89"/>
      <c r="BF134" s="89"/>
      <c r="BG134" s="89"/>
      <c r="BH134" s="89"/>
      <c r="BI134" s="89"/>
      <c r="BJ134" s="89"/>
      <c r="BK134" s="89"/>
      <c r="BL134" s="89"/>
      <c r="BM134" s="89"/>
      <c r="BN134" s="89"/>
      <c r="BO134" s="89"/>
      <c r="BP134" s="89"/>
      <c r="BQ134" s="89"/>
    </row>
    <row r="135" spans="2:92" ht="14" customHeight="1" x14ac:dyDescent="0.45">
      <c r="C135" t="s">
        <v>18</v>
      </c>
      <c r="L135" s="479"/>
      <c r="M135" s="479" t="s">
        <v>603</v>
      </c>
      <c r="AP135" s="89"/>
      <c r="AQ135" s="89"/>
      <c r="AR135" s="89"/>
      <c r="AS135" s="89"/>
      <c r="AT135" s="89"/>
      <c r="AU135" s="89"/>
      <c r="AV135" s="89"/>
      <c r="AW135" s="89"/>
      <c r="AX135" s="89"/>
      <c r="AY135" s="89"/>
      <c r="AZ135" s="89"/>
      <c r="BA135" s="89"/>
      <c r="BB135" s="89"/>
      <c r="BC135" s="89"/>
      <c r="BD135" s="89"/>
      <c r="BE135" s="89"/>
      <c r="BF135" s="89"/>
      <c r="BG135" s="89"/>
      <c r="BH135" s="89"/>
      <c r="BI135" s="89"/>
      <c r="BJ135" s="89"/>
      <c r="BK135" s="89"/>
      <c r="BL135" s="89"/>
      <c r="BM135" s="89"/>
      <c r="BN135" s="89"/>
      <c r="BO135" s="89"/>
      <c r="BP135" s="89"/>
      <c r="BQ135" s="89"/>
    </row>
    <row r="136" spans="2:92" ht="48" thickBot="1" x14ac:dyDescent="0.4">
      <c r="B136" s="10"/>
      <c r="C136" s="23" t="s">
        <v>46</v>
      </c>
      <c r="D136" s="151" t="s">
        <v>192</v>
      </c>
      <c r="E136" s="151" t="s">
        <v>65</v>
      </c>
      <c r="F136" s="151" t="s">
        <v>66</v>
      </c>
      <c r="G136" s="97" t="s">
        <v>78</v>
      </c>
      <c r="H136" s="151" t="s">
        <v>120</v>
      </c>
      <c r="I136" s="151" t="s">
        <v>531</v>
      </c>
      <c r="J136" s="97" t="s">
        <v>74</v>
      </c>
      <c r="K136" s="97" t="s">
        <v>75</v>
      </c>
      <c r="L136" s="134" t="s">
        <v>281</v>
      </c>
      <c r="M136" s="434" t="s">
        <v>576</v>
      </c>
      <c r="N136" s="407" t="s">
        <v>424</v>
      </c>
      <c r="O136" s="97" t="s">
        <v>217</v>
      </c>
      <c r="P136" s="97" t="s">
        <v>492</v>
      </c>
      <c r="Q136" s="432" t="s">
        <v>485</v>
      </c>
      <c r="R136" s="432" t="s">
        <v>486</v>
      </c>
      <c r="S136" s="432" t="s">
        <v>487</v>
      </c>
      <c r="T136" s="442" t="s">
        <v>432</v>
      </c>
      <c r="U136" s="134" t="s">
        <v>493</v>
      </c>
      <c r="V136" s="134" t="s">
        <v>527</v>
      </c>
      <c r="W136" s="134" t="s">
        <v>528</v>
      </c>
      <c r="X136" s="441" t="s">
        <v>434</v>
      </c>
      <c r="AQ136" s="89"/>
      <c r="AR136" s="89"/>
      <c r="AS136" s="89"/>
      <c r="AT136" s="89"/>
      <c r="AU136" s="89"/>
      <c r="AV136" s="89"/>
      <c r="AW136" s="89"/>
      <c r="AX136" s="89"/>
      <c r="AY136" s="89"/>
      <c r="AZ136" s="89"/>
      <c r="BA136" s="89"/>
      <c r="BB136" s="89"/>
      <c r="BC136" s="89"/>
      <c r="BD136" s="89"/>
      <c r="BE136" s="89"/>
      <c r="BF136" s="89"/>
      <c r="BG136" s="89"/>
      <c r="BH136" s="89"/>
      <c r="BI136" s="89"/>
      <c r="BJ136" s="89"/>
      <c r="BK136" s="89"/>
      <c r="BL136" s="89"/>
      <c r="BM136" s="89"/>
      <c r="BN136" s="89"/>
      <c r="BO136" s="89"/>
      <c r="BP136" s="89"/>
      <c r="BQ136" s="89"/>
      <c r="BR136" s="89"/>
    </row>
    <row r="137" spans="2:92" s="89" customFormat="1" ht="15" thickTop="1" x14ac:dyDescent="0.35">
      <c r="B137" s="603" t="s">
        <v>18</v>
      </c>
      <c r="C137" s="10" t="str">
        <f t="shared" ref="C137:C156" si="4">$C$135</f>
        <v>Geschäftsreisen</v>
      </c>
      <c r="D137" s="90"/>
      <c r="E137" s="90"/>
      <c r="F137" s="288"/>
      <c r="G137" s="10" t="str">
        <f>IFERROR(VLOOKUP(Geschäftsreisen[[#This Row],[Thema_Bezeichung]],EFs_Geschäftsreisen[],4,FALSE),"")</f>
        <v/>
      </c>
      <c r="H137" s="90"/>
      <c r="I137" s="90"/>
      <c r="J137" s="90"/>
      <c r="K137" s="90"/>
      <c r="L137" s="289" t="str">
        <f>IF(ISBLANK(Geschäftsreisen[[#This Row],[Wert 
(Zahl)]]),"", SUM(Geschäftsreisen[[#This Row],[Scope 1 CO2e '[kg CO2e']]:[Scope 3 CO2e '[kg CO2e']]]))</f>
        <v/>
      </c>
      <c r="M137" s="289" t="str">
        <f>IF(OR(ISBLANK(Geschäftsreisen[[#This Row],[Wert 
(Zahl)]]),Geschäftsreisen[[#This Row],[Scope 3 Ergebnis Nicht-CO2 '[kg CO2e']]]=0),"",Geschäftsreisen[[#This Row],[Scope 3 Ergebnis Nicht-CO2 '[kg CO2e']]])</f>
        <v/>
      </c>
      <c r="N137" s="408"/>
      <c r="O137" s="15" t="str">
        <f>IF(ISBLANK(Geschäftsreisen[[#This Row],[Emissionsquelle/Aktivität (Dropdown)]]),"",CONCATENATE(Geschäftsreisen[[#This Row],[Sektor_Thema]]," - ",Geschäftsreisen[[#This Row],[Emissionsquelle/Aktivität (Dropdown)]]))</f>
        <v/>
      </c>
      <c r="P137" s="15" t="str">
        <f>IF(ISBLANK(Geschäftsreisen[[#This Row],[Emissionsquelle/Aktivität (Dropdown)]]),"",AND(ISNUMBER(SEARCH("PKW",Geschäftsreisen[[#This Row],[Emissionsquelle/Aktivität (Dropdown)]])),ISNUMBER(Geschäftsreisen[[#This Row],[PKW-Auslastung:
Personenzahl/ PKW
(optionale Angabe)]])))</f>
        <v/>
      </c>
      <c r="Q137" s="15" t="str">
        <f>IFERROR(VLOOKUP(Geschäftsreisen[[#This Row],[Thema_Bezeichung]],EFs_Geschäftsreisen[],5,FALSE),"")</f>
        <v/>
      </c>
      <c r="R137" s="15" t="str">
        <f>IFERROR(VLOOKUP(Geschäftsreisen[[#This Row],[Thema_Bezeichung]],EFs_Geschäftsreisen[],6,FALSE),"")</f>
        <v/>
      </c>
      <c r="S137" s="15" t="str">
        <f>IF(Geschäftsreisen[[#This Row],[PKW - Auslastung angegeben?]]=TRUE,IFERROR((VLOOKUP(Geschäftsreisen[[#This Row],[Thema_Bezeichung]],EFs_Geschäftsreisen[],7,FALSE)*VLOOKUP(Geschäftsreisen[[#This Row],[Thema_Bezeichung]],EFs_Geschäftsreisen[],9,FALSE)/Geschäftsreisen[[#This Row],[PKW-Auslastung:
Personenzahl/ PKW
(optionale Angabe)]]),""),IF(Geschäftsreisen[[#This Row],[PKW - Auslastung angegeben?]]=FALSE,IFERROR(VLOOKUP(Geschäftsreisen[[#This Row],[Thema_Bezeichung]],EFs_Geschäftsreisen[],7,FALSE),""),""))</f>
        <v/>
      </c>
      <c r="T137" s="15" t="str">
        <f>IFERROR(VLOOKUP(Geschäftsreisen[[#This Row],[Thema_Bezeichung]],EFs_Geschäftsreisen[],8,FALSE),"")</f>
        <v/>
      </c>
      <c r="U137" s="15" t="str">
        <f>IF(Geschäftsreisen[[#This Row],[PKW - Auslastung angegeben?]]=TRUE,IFERROR(Geschäftsreisen[[#This Row],[Wert 
(Zahl)]]*(Geschäftsreisen[[#This Row],[EF Scope 1 CO2e
(kg CO2e/Einheit)]]*Emissionsfaktoren!$E$324/Geschäftsreisen[[#This Row],[PKW-Auslastung:
Personenzahl/ PKW
(optionale Angabe)]]),""),IFERROR(Geschäftsreisen[[#This Row],[Wert 
(Zahl)]]*Geschäftsreisen[[#This Row],[EF Scope 1 CO2e
(kg CO2e/Einheit)]],""))</f>
        <v/>
      </c>
      <c r="V137" s="15" t="str">
        <f>IF(Geschäftsreisen[[#This Row],[PKW - Auslastung angegeben?]]=TRUE,IFERROR(Geschäftsreisen[[#This Row],[Wert 
(Zahl)]]*(Geschäftsreisen[[#This Row],[EF Scope 2 CO2e
(kg CO2e/Einheit)]]*Emissionsfaktoren!$E$324/Geschäftsreisen[[#This Row],[PKW-Auslastung:
Personenzahl/ PKW
(optionale Angabe)]]),""),IFERROR(Geschäftsreisen[[#This Row],[Wert 
(Zahl)]]*Geschäftsreisen[[#This Row],[EF Scope 2 CO2e
(kg CO2e/Einheit)]],""))</f>
        <v/>
      </c>
      <c r="W137" s="15" t="str">
        <f>IFERROR(Geschäftsreisen[[#This Row],[Wert 
(Zahl)]]*Geschäftsreisen[[#This Row],[EF Scope 3 CO2e
(kg CO2e/Einheit)]],"")</f>
        <v/>
      </c>
      <c r="X137" s="15" t="str">
        <f>IFERROR(Geschäftsreisen[[#This Row],[Wert 
(Zahl)]]*Geschäftsreisen[[#This Row],[Scope 3 EF Nicht-CO2-Effekte '[kg CO2e/Einheit']]],"")</f>
        <v/>
      </c>
    </row>
    <row r="138" spans="2:92" s="89" customFormat="1" x14ac:dyDescent="0.35">
      <c r="B138" s="604"/>
      <c r="C138" s="10" t="str">
        <f t="shared" si="4"/>
        <v>Geschäftsreisen</v>
      </c>
      <c r="D138" s="90"/>
      <c r="E138" s="90"/>
      <c r="F138" s="288"/>
      <c r="G138" s="10" t="str">
        <f>IFERROR(VLOOKUP(Geschäftsreisen[[#This Row],[Thema_Bezeichung]],EFs_Geschäftsreisen[],4,FALSE),"")</f>
        <v/>
      </c>
      <c r="H138" s="90"/>
      <c r="I138" s="90"/>
      <c r="J138" s="90"/>
      <c r="K138" s="90"/>
      <c r="L138" s="289" t="str">
        <f>IF(ISBLANK(Geschäftsreisen[[#This Row],[Wert 
(Zahl)]]),"", SUM(Geschäftsreisen[[#This Row],[Scope 1 CO2e '[kg CO2e']]:[Scope 3 CO2e '[kg CO2e']]]))</f>
        <v/>
      </c>
      <c r="M138" s="289" t="str">
        <f>IF(OR(ISBLANK(Geschäftsreisen[[#This Row],[Wert 
(Zahl)]]),Geschäftsreisen[[#This Row],[Scope 3 Ergebnis Nicht-CO2 '[kg CO2e']]]=0),"",Geschäftsreisen[[#This Row],[Scope 3 Ergebnis Nicht-CO2 '[kg CO2e']]])</f>
        <v/>
      </c>
      <c r="N138" s="408"/>
      <c r="O138" s="15" t="str">
        <f>IF(ISBLANK(Geschäftsreisen[[#This Row],[Emissionsquelle/Aktivität (Dropdown)]]),"",CONCATENATE(Geschäftsreisen[[#This Row],[Sektor_Thema]]," - ",Geschäftsreisen[[#This Row],[Emissionsquelle/Aktivität (Dropdown)]]))</f>
        <v/>
      </c>
      <c r="P138" s="15" t="str">
        <f>IF(ISBLANK(Geschäftsreisen[[#This Row],[Emissionsquelle/Aktivität (Dropdown)]]),"",AND(ISNUMBER(SEARCH("PKW",Geschäftsreisen[[#This Row],[Emissionsquelle/Aktivität (Dropdown)]])),ISNUMBER(Geschäftsreisen[[#This Row],[PKW-Auslastung:
Personenzahl/ PKW
(optionale Angabe)]])))</f>
        <v/>
      </c>
      <c r="Q138" s="15" t="str">
        <f>IFERROR(VLOOKUP(Geschäftsreisen[[#This Row],[Thema_Bezeichung]],EFs_Geschäftsreisen[],5,FALSE),"")</f>
        <v/>
      </c>
      <c r="R138" s="15" t="str">
        <f>IFERROR(VLOOKUP(Geschäftsreisen[[#This Row],[Thema_Bezeichung]],EFs_Geschäftsreisen[],6,FALSE),"")</f>
        <v/>
      </c>
      <c r="S138" s="15" t="str">
        <f>IF(Geschäftsreisen[[#This Row],[PKW - Auslastung angegeben?]]=TRUE,IFERROR((VLOOKUP(Geschäftsreisen[[#This Row],[Thema_Bezeichung]],EFs_Geschäftsreisen[],7,FALSE)*VLOOKUP(Geschäftsreisen[[#This Row],[Thema_Bezeichung]],EFs_Geschäftsreisen[],9,FALSE)/Geschäftsreisen[[#This Row],[PKW-Auslastung:
Personenzahl/ PKW
(optionale Angabe)]]),""),IF(Geschäftsreisen[[#This Row],[PKW - Auslastung angegeben?]]=FALSE,IFERROR(VLOOKUP(Geschäftsreisen[[#This Row],[Thema_Bezeichung]],EFs_Geschäftsreisen[],7,FALSE),""),""))</f>
        <v/>
      </c>
      <c r="T138" s="15" t="str">
        <f>IFERROR(VLOOKUP(Geschäftsreisen[[#This Row],[Thema_Bezeichung]],EFs_Geschäftsreisen[],8,FALSE),"")</f>
        <v/>
      </c>
      <c r="U138" s="15" t="str">
        <f>IF(Geschäftsreisen[[#This Row],[PKW - Auslastung angegeben?]]=TRUE,IFERROR(Geschäftsreisen[[#This Row],[Wert 
(Zahl)]]*(Geschäftsreisen[[#This Row],[EF Scope 1 CO2e
(kg CO2e/Einheit)]]*Emissionsfaktoren!$E$324/Geschäftsreisen[[#This Row],[PKW-Auslastung:
Personenzahl/ PKW
(optionale Angabe)]]),""),IFERROR(Geschäftsreisen[[#This Row],[Wert 
(Zahl)]]*Geschäftsreisen[[#This Row],[EF Scope 1 CO2e
(kg CO2e/Einheit)]],""))</f>
        <v/>
      </c>
      <c r="V138" s="15" t="str">
        <f>IF(Geschäftsreisen[[#This Row],[PKW - Auslastung angegeben?]]=TRUE,IFERROR(Geschäftsreisen[[#This Row],[Wert 
(Zahl)]]*(Geschäftsreisen[[#This Row],[EF Scope 2 CO2e
(kg CO2e/Einheit)]]*Emissionsfaktoren!$E$324/Geschäftsreisen[[#This Row],[PKW-Auslastung:
Personenzahl/ PKW
(optionale Angabe)]]),""),IFERROR(Geschäftsreisen[[#This Row],[Wert 
(Zahl)]]*Geschäftsreisen[[#This Row],[EF Scope 2 CO2e
(kg CO2e/Einheit)]],""))</f>
        <v/>
      </c>
      <c r="W138" s="15" t="str">
        <f>IFERROR(Geschäftsreisen[[#This Row],[Wert 
(Zahl)]]*Geschäftsreisen[[#This Row],[EF Scope 3 CO2e
(kg CO2e/Einheit)]],"")</f>
        <v/>
      </c>
      <c r="X138" s="15" t="str">
        <f>IFERROR(Geschäftsreisen[[#This Row],[Wert 
(Zahl)]]*Geschäftsreisen[[#This Row],[Scope 3 EF Nicht-CO2-Effekte '[kg CO2e/Einheit']]],"")</f>
        <v/>
      </c>
    </row>
    <row r="139" spans="2:92" s="89" customFormat="1" x14ac:dyDescent="0.35">
      <c r="B139" s="604"/>
      <c r="C139" s="10" t="str">
        <f t="shared" si="4"/>
        <v>Geschäftsreisen</v>
      </c>
      <c r="D139" s="90"/>
      <c r="E139" s="90"/>
      <c r="F139" s="288"/>
      <c r="G139" s="10" t="str">
        <f>IFERROR(VLOOKUP(Geschäftsreisen[[#This Row],[Thema_Bezeichung]],EFs_Geschäftsreisen[],4,FALSE),"")</f>
        <v/>
      </c>
      <c r="H139" s="90"/>
      <c r="I139" s="90"/>
      <c r="J139" s="90"/>
      <c r="K139" s="90"/>
      <c r="L139" s="289" t="str">
        <f>IF(ISBLANK(Geschäftsreisen[[#This Row],[Wert 
(Zahl)]]),"", SUM(Geschäftsreisen[[#This Row],[Scope 1 CO2e '[kg CO2e']]:[Scope 3 CO2e '[kg CO2e']]]))</f>
        <v/>
      </c>
      <c r="M139" s="289" t="str">
        <f>IF(OR(ISBLANK(Geschäftsreisen[[#This Row],[Wert 
(Zahl)]]),Geschäftsreisen[[#This Row],[Scope 3 Ergebnis Nicht-CO2 '[kg CO2e']]]=0),"",Geschäftsreisen[[#This Row],[Scope 3 Ergebnis Nicht-CO2 '[kg CO2e']]])</f>
        <v/>
      </c>
      <c r="N139" s="408"/>
      <c r="O139" s="15" t="str">
        <f>IF(ISBLANK(Geschäftsreisen[[#This Row],[Emissionsquelle/Aktivität (Dropdown)]]),"",CONCATENATE(Geschäftsreisen[[#This Row],[Sektor_Thema]]," - ",Geschäftsreisen[[#This Row],[Emissionsquelle/Aktivität (Dropdown)]]))</f>
        <v/>
      </c>
      <c r="P139" s="15" t="str">
        <f>IF(ISBLANK(Geschäftsreisen[[#This Row],[Emissionsquelle/Aktivität (Dropdown)]]),"",AND(ISNUMBER(SEARCH("PKW",Geschäftsreisen[[#This Row],[Emissionsquelle/Aktivität (Dropdown)]])),ISNUMBER(Geschäftsreisen[[#This Row],[PKW-Auslastung:
Personenzahl/ PKW
(optionale Angabe)]])))</f>
        <v/>
      </c>
      <c r="Q139" s="15" t="str">
        <f>IFERROR(VLOOKUP(Geschäftsreisen[[#This Row],[Thema_Bezeichung]],EFs_Geschäftsreisen[],5,FALSE),"")</f>
        <v/>
      </c>
      <c r="R139" s="15" t="str">
        <f>IFERROR(VLOOKUP(Geschäftsreisen[[#This Row],[Thema_Bezeichung]],EFs_Geschäftsreisen[],6,FALSE),"")</f>
        <v/>
      </c>
      <c r="S139" s="15" t="str">
        <f>IF(Geschäftsreisen[[#This Row],[PKW - Auslastung angegeben?]]=TRUE,IFERROR((VLOOKUP(Geschäftsreisen[[#This Row],[Thema_Bezeichung]],EFs_Geschäftsreisen[],7,FALSE)*VLOOKUP(Geschäftsreisen[[#This Row],[Thema_Bezeichung]],EFs_Geschäftsreisen[],9,FALSE)/Geschäftsreisen[[#This Row],[PKW-Auslastung:
Personenzahl/ PKW
(optionale Angabe)]]),""),IF(Geschäftsreisen[[#This Row],[PKW - Auslastung angegeben?]]=FALSE,IFERROR(VLOOKUP(Geschäftsreisen[[#This Row],[Thema_Bezeichung]],EFs_Geschäftsreisen[],7,FALSE),""),""))</f>
        <v/>
      </c>
      <c r="T139" s="15" t="str">
        <f>IFERROR(VLOOKUP(Geschäftsreisen[[#This Row],[Thema_Bezeichung]],EFs_Geschäftsreisen[],8,FALSE),"")</f>
        <v/>
      </c>
      <c r="U139" s="15" t="str">
        <f>IF(Geschäftsreisen[[#This Row],[PKW - Auslastung angegeben?]]=TRUE,IFERROR(Geschäftsreisen[[#This Row],[Wert 
(Zahl)]]*(Geschäftsreisen[[#This Row],[EF Scope 1 CO2e
(kg CO2e/Einheit)]]*Emissionsfaktoren!$E$324/Geschäftsreisen[[#This Row],[PKW-Auslastung:
Personenzahl/ PKW
(optionale Angabe)]]),""),IFERROR(Geschäftsreisen[[#This Row],[Wert 
(Zahl)]]*Geschäftsreisen[[#This Row],[EF Scope 1 CO2e
(kg CO2e/Einheit)]],""))</f>
        <v/>
      </c>
      <c r="V139" s="15" t="str">
        <f>IF(Geschäftsreisen[[#This Row],[PKW - Auslastung angegeben?]]=TRUE,IFERROR(Geschäftsreisen[[#This Row],[Wert 
(Zahl)]]*(Geschäftsreisen[[#This Row],[EF Scope 2 CO2e
(kg CO2e/Einheit)]]*Emissionsfaktoren!$E$324/Geschäftsreisen[[#This Row],[PKW-Auslastung:
Personenzahl/ PKW
(optionale Angabe)]]),""),IFERROR(Geschäftsreisen[[#This Row],[Wert 
(Zahl)]]*Geschäftsreisen[[#This Row],[EF Scope 2 CO2e
(kg CO2e/Einheit)]],""))</f>
        <v/>
      </c>
      <c r="W139" s="15" t="str">
        <f>IFERROR(Geschäftsreisen[[#This Row],[Wert 
(Zahl)]]*Geschäftsreisen[[#This Row],[EF Scope 3 CO2e
(kg CO2e/Einheit)]],"")</f>
        <v/>
      </c>
      <c r="X139" s="15" t="str">
        <f>IFERROR(Geschäftsreisen[[#This Row],[Wert 
(Zahl)]]*Geschäftsreisen[[#This Row],[Scope 3 EF Nicht-CO2-Effekte '[kg CO2e/Einheit']]],"")</f>
        <v/>
      </c>
    </row>
    <row r="140" spans="2:92" s="89" customFormat="1" x14ac:dyDescent="0.35">
      <c r="B140" s="604"/>
      <c r="C140" s="10" t="str">
        <f t="shared" si="4"/>
        <v>Geschäftsreisen</v>
      </c>
      <c r="D140" s="90"/>
      <c r="E140" s="90"/>
      <c r="F140" s="288"/>
      <c r="G140" s="10" t="str">
        <f>IFERROR(VLOOKUP(Geschäftsreisen[[#This Row],[Thema_Bezeichung]],EFs_Geschäftsreisen[],4,FALSE),"")</f>
        <v/>
      </c>
      <c r="H140" s="90"/>
      <c r="I140" s="90"/>
      <c r="J140" s="90"/>
      <c r="K140" s="90"/>
      <c r="L140" s="289" t="str">
        <f>IF(ISBLANK(Geschäftsreisen[[#This Row],[Wert 
(Zahl)]]),"", SUM(Geschäftsreisen[[#This Row],[Scope 1 CO2e '[kg CO2e']]:[Scope 3 CO2e '[kg CO2e']]]))</f>
        <v/>
      </c>
      <c r="M140" s="289" t="str">
        <f>IF(OR(ISBLANK(Geschäftsreisen[[#This Row],[Wert 
(Zahl)]]),Geschäftsreisen[[#This Row],[Scope 3 Ergebnis Nicht-CO2 '[kg CO2e']]]=0),"",Geschäftsreisen[[#This Row],[Scope 3 Ergebnis Nicht-CO2 '[kg CO2e']]])</f>
        <v/>
      </c>
      <c r="N140" s="408"/>
      <c r="O140" s="15" t="str">
        <f>IF(ISBLANK(Geschäftsreisen[[#This Row],[Emissionsquelle/Aktivität (Dropdown)]]),"",CONCATENATE(Geschäftsreisen[[#This Row],[Sektor_Thema]]," - ",Geschäftsreisen[[#This Row],[Emissionsquelle/Aktivität (Dropdown)]]))</f>
        <v/>
      </c>
      <c r="P140" s="15" t="str">
        <f>IF(ISBLANK(Geschäftsreisen[[#This Row],[Emissionsquelle/Aktivität (Dropdown)]]),"",AND(ISNUMBER(SEARCH("PKW",Geschäftsreisen[[#This Row],[Emissionsquelle/Aktivität (Dropdown)]])),ISNUMBER(Geschäftsreisen[[#This Row],[PKW-Auslastung:
Personenzahl/ PKW
(optionale Angabe)]])))</f>
        <v/>
      </c>
      <c r="Q140" s="15" t="str">
        <f>IFERROR(VLOOKUP(Geschäftsreisen[[#This Row],[Thema_Bezeichung]],EFs_Geschäftsreisen[],5,FALSE),"")</f>
        <v/>
      </c>
      <c r="R140" s="15" t="str">
        <f>IFERROR(VLOOKUP(Geschäftsreisen[[#This Row],[Thema_Bezeichung]],EFs_Geschäftsreisen[],6,FALSE),"")</f>
        <v/>
      </c>
      <c r="S140" s="15" t="str">
        <f>IF(Geschäftsreisen[[#This Row],[PKW - Auslastung angegeben?]]=TRUE,IFERROR((VLOOKUP(Geschäftsreisen[[#This Row],[Thema_Bezeichung]],EFs_Geschäftsreisen[],7,FALSE)*VLOOKUP(Geschäftsreisen[[#This Row],[Thema_Bezeichung]],EFs_Geschäftsreisen[],9,FALSE)/Geschäftsreisen[[#This Row],[PKW-Auslastung:
Personenzahl/ PKW
(optionale Angabe)]]),""),IF(Geschäftsreisen[[#This Row],[PKW - Auslastung angegeben?]]=FALSE,IFERROR(VLOOKUP(Geschäftsreisen[[#This Row],[Thema_Bezeichung]],EFs_Geschäftsreisen[],7,FALSE),""),""))</f>
        <v/>
      </c>
      <c r="T140" s="15" t="str">
        <f>IFERROR(VLOOKUP(Geschäftsreisen[[#This Row],[Thema_Bezeichung]],EFs_Geschäftsreisen[],8,FALSE),"")</f>
        <v/>
      </c>
      <c r="U140" s="15" t="str">
        <f>IF(Geschäftsreisen[[#This Row],[PKW - Auslastung angegeben?]]=TRUE,IFERROR(Geschäftsreisen[[#This Row],[Wert 
(Zahl)]]*(Geschäftsreisen[[#This Row],[EF Scope 1 CO2e
(kg CO2e/Einheit)]]*Emissionsfaktoren!$E$324/Geschäftsreisen[[#This Row],[PKW-Auslastung:
Personenzahl/ PKW
(optionale Angabe)]]),""),IFERROR(Geschäftsreisen[[#This Row],[Wert 
(Zahl)]]*Geschäftsreisen[[#This Row],[EF Scope 1 CO2e
(kg CO2e/Einheit)]],""))</f>
        <v/>
      </c>
      <c r="V140" s="15" t="str">
        <f>IF(Geschäftsreisen[[#This Row],[PKW - Auslastung angegeben?]]=TRUE,IFERROR(Geschäftsreisen[[#This Row],[Wert 
(Zahl)]]*(Geschäftsreisen[[#This Row],[EF Scope 2 CO2e
(kg CO2e/Einheit)]]*Emissionsfaktoren!$E$324/Geschäftsreisen[[#This Row],[PKW-Auslastung:
Personenzahl/ PKW
(optionale Angabe)]]),""),IFERROR(Geschäftsreisen[[#This Row],[Wert 
(Zahl)]]*Geschäftsreisen[[#This Row],[EF Scope 2 CO2e
(kg CO2e/Einheit)]],""))</f>
        <v/>
      </c>
      <c r="W140" s="15" t="str">
        <f>IFERROR(Geschäftsreisen[[#This Row],[Wert 
(Zahl)]]*Geschäftsreisen[[#This Row],[EF Scope 3 CO2e
(kg CO2e/Einheit)]],"")</f>
        <v/>
      </c>
      <c r="X140" s="15" t="str">
        <f>IFERROR(Geschäftsreisen[[#This Row],[Wert 
(Zahl)]]*Geschäftsreisen[[#This Row],[Scope 3 EF Nicht-CO2-Effekte '[kg CO2e/Einheit']]],"")</f>
        <v/>
      </c>
    </row>
    <row r="141" spans="2:92" s="89" customFormat="1" x14ac:dyDescent="0.35">
      <c r="B141" s="604"/>
      <c r="C141" s="10" t="str">
        <f t="shared" si="4"/>
        <v>Geschäftsreisen</v>
      </c>
      <c r="D141" s="90"/>
      <c r="E141" s="90"/>
      <c r="F141" s="288"/>
      <c r="G141" s="10" t="str">
        <f>IFERROR(VLOOKUP(Geschäftsreisen[[#This Row],[Thema_Bezeichung]],EFs_Geschäftsreisen[],4,FALSE),"")</f>
        <v/>
      </c>
      <c r="H141" s="90"/>
      <c r="I141" s="90"/>
      <c r="J141" s="90"/>
      <c r="K141" s="90"/>
      <c r="L141" s="289" t="str">
        <f>IF(ISBLANK(Geschäftsreisen[[#This Row],[Wert 
(Zahl)]]),"", SUM(Geschäftsreisen[[#This Row],[Scope 1 CO2e '[kg CO2e']]:[Scope 3 CO2e '[kg CO2e']]]))</f>
        <v/>
      </c>
      <c r="M141" s="289" t="str">
        <f>IF(OR(ISBLANK(Geschäftsreisen[[#This Row],[Wert 
(Zahl)]]),Geschäftsreisen[[#This Row],[Scope 3 Ergebnis Nicht-CO2 '[kg CO2e']]]=0),"",Geschäftsreisen[[#This Row],[Scope 3 Ergebnis Nicht-CO2 '[kg CO2e']]])</f>
        <v/>
      </c>
      <c r="N141" s="408"/>
      <c r="O141" s="15" t="str">
        <f>IF(ISBLANK(Geschäftsreisen[[#This Row],[Emissionsquelle/Aktivität (Dropdown)]]),"",CONCATENATE(Geschäftsreisen[[#This Row],[Sektor_Thema]]," - ",Geschäftsreisen[[#This Row],[Emissionsquelle/Aktivität (Dropdown)]]))</f>
        <v/>
      </c>
      <c r="P141" s="15" t="str">
        <f>IF(ISBLANK(Geschäftsreisen[[#This Row],[Emissionsquelle/Aktivität (Dropdown)]]),"",AND(ISNUMBER(SEARCH("PKW",Geschäftsreisen[[#This Row],[Emissionsquelle/Aktivität (Dropdown)]])),ISNUMBER(Geschäftsreisen[[#This Row],[PKW-Auslastung:
Personenzahl/ PKW
(optionale Angabe)]])))</f>
        <v/>
      </c>
      <c r="Q141" s="15" t="str">
        <f>IFERROR(VLOOKUP(Geschäftsreisen[[#This Row],[Thema_Bezeichung]],EFs_Geschäftsreisen[],5,FALSE),"")</f>
        <v/>
      </c>
      <c r="R141" s="15" t="str">
        <f>IFERROR(VLOOKUP(Geschäftsreisen[[#This Row],[Thema_Bezeichung]],EFs_Geschäftsreisen[],6,FALSE),"")</f>
        <v/>
      </c>
      <c r="S141" s="15" t="str">
        <f>IF(Geschäftsreisen[[#This Row],[PKW - Auslastung angegeben?]]=TRUE,IFERROR((VLOOKUP(Geschäftsreisen[[#This Row],[Thema_Bezeichung]],EFs_Geschäftsreisen[],7,FALSE)*VLOOKUP(Geschäftsreisen[[#This Row],[Thema_Bezeichung]],EFs_Geschäftsreisen[],9,FALSE)/Geschäftsreisen[[#This Row],[PKW-Auslastung:
Personenzahl/ PKW
(optionale Angabe)]]),""),IF(Geschäftsreisen[[#This Row],[PKW - Auslastung angegeben?]]=FALSE,IFERROR(VLOOKUP(Geschäftsreisen[[#This Row],[Thema_Bezeichung]],EFs_Geschäftsreisen[],7,FALSE),""),""))</f>
        <v/>
      </c>
      <c r="T141" s="15" t="str">
        <f>IFERROR(VLOOKUP(Geschäftsreisen[[#This Row],[Thema_Bezeichung]],EFs_Geschäftsreisen[],8,FALSE),"")</f>
        <v/>
      </c>
      <c r="U141" s="15" t="str">
        <f>IF(Geschäftsreisen[[#This Row],[PKW - Auslastung angegeben?]]=TRUE,IFERROR(Geschäftsreisen[[#This Row],[Wert 
(Zahl)]]*(Geschäftsreisen[[#This Row],[EF Scope 1 CO2e
(kg CO2e/Einheit)]]*Emissionsfaktoren!$E$324/Geschäftsreisen[[#This Row],[PKW-Auslastung:
Personenzahl/ PKW
(optionale Angabe)]]),""),IFERROR(Geschäftsreisen[[#This Row],[Wert 
(Zahl)]]*Geschäftsreisen[[#This Row],[EF Scope 1 CO2e
(kg CO2e/Einheit)]],""))</f>
        <v/>
      </c>
      <c r="V141" s="15" t="str">
        <f>IF(Geschäftsreisen[[#This Row],[PKW - Auslastung angegeben?]]=TRUE,IFERROR(Geschäftsreisen[[#This Row],[Wert 
(Zahl)]]*(Geschäftsreisen[[#This Row],[EF Scope 2 CO2e
(kg CO2e/Einheit)]]*Emissionsfaktoren!$E$324/Geschäftsreisen[[#This Row],[PKW-Auslastung:
Personenzahl/ PKW
(optionale Angabe)]]),""),IFERROR(Geschäftsreisen[[#This Row],[Wert 
(Zahl)]]*Geschäftsreisen[[#This Row],[EF Scope 2 CO2e
(kg CO2e/Einheit)]],""))</f>
        <v/>
      </c>
      <c r="W141" s="15" t="str">
        <f>IFERROR(Geschäftsreisen[[#This Row],[Wert 
(Zahl)]]*Geschäftsreisen[[#This Row],[EF Scope 3 CO2e
(kg CO2e/Einheit)]],"")</f>
        <v/>
      </c>
      <c r="X141" s="15" t="str">
        <f>IFERROR(Geschäftsreisen[[#This Row],[Wert 
(Zahl)]]*Geschäftsreisen[[#This Row],[Scope 3 EF Nicht-CO2-Effekte '[kg CO2e/Einheit']]],"")</f>
        <v/>
      </c>
    </row>
    <row r="142" spans="2:92" s="89" customFormat="1" x14ac:dyDescent="0.35">
      <c r="B142" s="604"/>
      <c r="C142" s="10" t="str">
        <f t="shared" si="4"/>
        <v>Geschäftsreisen</v>
      </c>
      <c r="D142" s="90"/>
      <c r="E142" s="90"/>
      <c r="F142" s="288"/>
      <c r="G142" s="10" t="str">
        <f>IFERROR(VLOOKUP(Geschäftsreisen[[#This Row],[Thema_Bezeichung]],EFs_Geschäftsreisen[],4,FALSE),"")</f>
        <v/>
      </c>
      <c r="H142" s="90"/>
      <c r="I142" s="90"/>
      <c r="J142" s="90"/>
      <c r="K142" s="90"/>
      <c r="L142" s="289" t="str">
        <f>IF(ISBLANK(Geschäftsreisen[[#This Row],[Wert 
(Zahl)]]),"", SUM(Geschäftsreisen[[#This Row],[Scope 1 CO2e '[kg CO2e']]:[Scope 3 CO2e '[kg CO2e']]]))</f>
        <v/>
      </c>
      <c r="M142" s="289" t="str">
        <f>IF(OR(ISBLANK(Geschäftsreisen[[#This Row],[Wert 
(Zahl)]]),Geschäftsreisen[[#This Row],[Scope 3 Ergebnis Nicht-CO2 '[kg CO2e']]]=0),"",Geschäftsreisen[[#This Row],[Scope 3 Ergebnis Nicht-CO2 '[kg CO2e']]])</f>
        <v/>
      </c>
      <c r="N142" s="408"/>
      <c r="O142" s="15" t="str">
        <f>IF(ISBLANK(Geschäftsreisen[[#This Row],[Emissionsquelle/Aktivität (Dropdown)]]),"",CONCATENATE(Geschäftsreisen[[#This Row],[Sektor_Thema]]," - ",Geschäftsreisen[[#This Row],[Emissionsquelle/Aktivität (Dropdown)]]))</f>
        <v/>
      </c>
      <c r="P142" s="15" t="str">
        <f>IF(ISBLANK(Geschäftsreisen[[#This Row],[Emissionsquelle/Aktivität (Dropdown)]]),"",AND(ISNUMBER(SEARCH("PKW",Geschäftsreisen[[#This Row],[Emissionsquelle/Aktivität (Dropdown)]])),ISNUMBER(Geschäftsreisen[[#This Row],[PKW-Auslastung:
Personenzahl/ PKW
(optionale Angabe)]])))</f>
        <v/>
      </c>
      <c r="Q142" s="15" t="str">
        <f>IFERROR(VLOOKUP(Geschäftsreisen[[#This Row],[Thema_Bezeichung]],EFs_Geschäftsreisen[],5,FALSE),"")</f>
        <v/>
      </c>
      <c r="R142" s="15" t="str">
        <f>IFERROR(VLOOKUP(Geschäftsreisen[[#This Row],[Thema_Bezeichung]],EFs_Geschäftsreisen[],6,FALSE),"")</f>
        <v/>
      </c>
      <c r="S142" s="15" t="str">
        <f>IF(Geschäftsreisen[[#This Row],[PKW - Auslastung angegeben?]]=TRUE,IFERROR((VLOOKUP(Geschäftsreisen[[#This Row],[Thema_Bezeichung]],EFs_Geschäftsreisen[],7,FALSE)*VLOOKUP(Geschäftsreisen[[#This Row],[Thema_Bezeichung]],EFs_Geschäftsreisen[],9,FALSE)/Geschäftsreisen[[#This Row],[PKW-Auslastung:
Personenzahl/ PKW
(optionale Angabe)]]),""),IF(Geschäftsreisen[[#This Row],[PKW - Auslastung angegeben?]]=FALSE,IFERROR(VLOOKUP(Geschäftsreisen[[#This Row],[Thema_Bezeichung]],EFs_Geschäftsreisen[],7,FALSE),""),""))</f>
        <v/>
      </c>
      <c r="T142" s="15" t="str">
        <f>IFERROR(VLOOKUP(Geschäftsreisen[[#This Row],[Thema_Bezeichung]],EFs_Geschäftsreisen[],8,FALSE),"")</f>
        <v/>
      </c>
      <c r="U142" s="15" t="str">
        <f>IF(Geschäftsreisen[[#This Row],[PKW - Auslastung angegeben?]]=TRUE,IFERROR(Geschäftsreisen[[#This Row],[Wert 
(Zahl)]]*(Geschäftsreisen[[#This Row],[EF Scope 1 CO2e
(kg CO2e/Einheit)]]*Emissionsfaktoren!$E$324/Geschäftsreisen[[#This Row],[PKW-Auslastung:
Personenzahl/ PKW
(optionale Angabe)]]),""),IFERROR(Geschäftsreisen[[#This Row],[Wert 
(Zahl)]]*Geschäftsreisen[[#This Row],[EF Scope 1 CO2e
(kg CO2e/Einheit)]],""))</f>
        <v/>
      </c>
      <c r="V142" s="15" t="str">
        <f>IF(Geschäftsreisen[[#This Row],[PKW - Auslastung angegeben?]]=TRUE,IFERROR(Geschäftsreisen[[#This Row],[Wert 
(Zahl)]]*(Geschäftsreisen[[#This Row],[EF Scope 2 CO2e
(kg CO2e/Einheit)]]*Emissionsfaktoren!$E$324/Geschäftsreisen[[#This Row],[PKW-Auslastung:
Personenzahl/ PKW
(optionale Angabe)]]),""),IFERROR(Geschäftsreisen[[#This Row],[Wert 
(Zahl)]]*Geschäftsreisen[[#This Row],[EF Scope 2 CO2e
(kg CO2e/Einheit)]],""))</f>
        <v/>
      </c>
      <c r="W142" s="15" t="str">
        <f>IFERROR(Geschäftsreisen[[#This Row],[Wert 
(Zahl)]]*Geschäftsreisen[[#This Row],[EF Scope 3 CO2e
(kg CO2e/Einheit)]],"")</f>
        <v/>
      </c>
      <c r="X142" s="15" t="str">
        <f>IFERROR(Geschäftsreisen[[#This Row],[Wert 
(Zahl)]]*Geschäftsreisen[[#This Row],[Scope 3 EF Nicht-CO2-Effekte '[kg CO2e/Einheit']]],"")</f>
        <v/>
      </c>
    </row>
    <row r="143" spans="2:92" s="89" customFormat="1" x14ac:dyDescent="0.35">
      <c r="B143" s="604"/>
      <c r="C143" s="10" t="str">
        <f t="shared" si="4"/>
        <v>Geschäftsreisen</v>
      </c>
      <c r="D143" s="90"/>
      <c r="E143" s="90"/>
      <c r="F143" s="288"/>
      <c r="G143" s="10" t="str">
        <f>IFERROR(VLOOKUP(Geschäftsreisen[[#This Row],[Thema_Bezeichung]],EFs_Geschäftsreisen[],4,FALSE),"")</f>
        <v/>
      </c>
      <c r="H143" s="90"/>
      <c r="I143" s="90"/>
      <c r="J143" s="90"/>
      <c r="K143" s="90"/>
      <c r="L143" s="289" t="str">
        <f>IF(ISBLANK(Geschäftsreisen[[#This Row],[Wert 
(Zahl)]]),"", SUM(Geschäftsreisen[[#This Row],[Scope 1 CO2e '[kg CO2e']]:[Scope 3 CO2e '[kg CO2e']]]))</f>
        <v/>
      </c>
      <c r="M143" s="289" t="str">
        <f>IF(OR(ISBLANK(Geschäftsreisen[[#This Row],[Wert 
(Zahl)]]),Geschäftsreisen[[#This Row],[Scope 3 Ergebnis Nicht-CO2 '[kg CO2e']]]=0),"",Geschäftsreisen[[#This Row],[Scope 3 Ergebnis Nicht-CO2 '[kg CO2e']]])</f>
        <v/>
      </c>
      <c r="N143" s="408"/>
      <c r="O143" s="15" t="str">
        <f>IF(ISBLANK(Geschäftsreisen[[#This Row],[Emissionsquelle/Aktivität (Dropdown)]]),"",CONCATENATE(Geschäftsreisen[[#This Row],[Sektor_Thema]]," - ",Geschäftsreisen[[#This Row],[Emissionsquelle/Aktivität (Dropdown)]]))</f>
        <v/>
      </c>
      <c r="P143" s="15" t="str">
        <f>IF(ISBLANK(Geschäftsreisen[[#This Row],[Emissionsquelle/Aktivität (Dropdown)]]),"",AND(ISNUMBER(SEARCH("PKW",Geschäftsreisen[[#This Row],[Emissionsquelle/Aktivität (Dropdown)]])),ISNUMBER(Geschäftsreisen[[#This Row],[PKW-Auslastung:
Personenzahl/ PKW
(optionale Angabe)]])))</f>
        <v/>
      </c>
      <c r="Q143" s="15" t="str">
        <f>IFERROR(VLOOKUP(Geschäftsreisen[[#This Row],[Thema_Bezeichung]],EFs_Geschäftsreisen[],5,FALSE),"")</f>
        <v/>
      </c>
      <c r="R143" s="15" t="str">
        <f>IFERROR(VLOOKUP(Geschäftsreisen[[#This Row],[Thema_Bezeichung]],EFs_Geschäftsreisen[],6,FALSE),"")</f>
        <v/>
      </c>
      <c r="S143" s="15" t="str">
        <f>IF(Geschäftsreisen[[#This Row],[PKW - Auslastung angegeben?]]=TRUE,IFERROR((VLOOKUP(Geschäftsreisen[[#This Row],[Thema_Bezeichung]],EFs_Geschäftsreisen[],7,FALSE)*VLOOKUP(Geschäftsreisen[[#This Row],[Thema_Bezeichung]],EFs_Geschäftsreisen[],9,FALSE)/Geschäftsreisen[[#This Row],[PKW-Auslastung:
Personenzahl/ PKW
(optionale Angabe)]]),""),IF(Geschäftsreisen[[#This Row],[PKW - Auslastung angegeben?]]=FALSE,IFERROR(VLOOKUP(Geschäftsreisen[[#This Row],[Thema_Bezeichung]],EFs_Geschäftsreisen[],7,FALSE),""),""))</f>
        <v/>
      </c>
      <c r="T143" s="15" t="str">
        <f>IFERROR(VLOOKUP(Geschäftsreisen[[#This Row],[Thema_Bezeichung]],EFs_Geschäftsreisen[],8,FALSE),"")</f>
        <v/>
      </c>
      <c r="U143" s="15" t="str">
        <f>IF(Geschäftsreisen[[#This Row],[PKW - Auslastung angegeben?]]=TRUE,IFERROR(Geschäftsreisen[[#This Row],[Wert 
(Zahl)]]*(Geschäftsreisen[[#This Row],[EF Scope 1 CO2e
(kg CO2e/Einheit)]]*Emissionsfaktoren!$E$324/Geschäftsreisen[[#This Row],[PKW-Auslastung:
Personenzahl/ PKW
(optionale Angabe)]]),""),IFERROR(Geschäftsreisen[[#This Row],[Wert 
(Zahl)]]*Geschäftsreisen[[#This Row],[EF Scope 1 CO2e
(kg CO2e/Einheit)]],""))</f>
        <v/>
      </c>
      <c r="V143" s="15" t="str">
        <f>IF(Geschäftsreisen[[#This Row],[PKW - Auslastung angegeben?]]=TRUE,IFERROR(Geschäftsreisen[[#This Row],[Wert 
(Zahl)]]*(Geschäftsreisen[[#This Row],[EF Scope 2 CO2e
(kg CO2e/Einheit)]]*Emissionsfaktoren!$E$324/Geschäftsreisen[[#This Row],[PKW-Auslastung:
Personenzahl/ PKW
(optionale Angabe)]]),""),IFERROR(Geschäftsreisen[[#This Row],[Wert 
(Zahl)]]*Geschäftsreisen[[#This Row],[EF Scope 2 CO2e
(kg CO2e/Einheit)]],""))</f>
        <v/>
      </c>
      <c r="W143" s="15" t="str">
        <f>IFERROR(Geschäftsreisen[[#This Row],[Wert 
(Zahl)]]*Geschäftsreisen[[#This Row],[EF Scope 3 CO2e
(kg CO2e/Einheit)]],"")</f>
        <v/>
      </c>
      <c r="X143" s="15" t="str">
        <f>IFERROR(Geschäftsreisen[[#This Row],[Wert 
(Zahl)]]*Geschäftsreisen[[#This Row],[Scope 3 EF Nicht-CO2-Effekte '[kg CO2e/Einheit']]],"")</f>
        <v/>
      </c>
    </row>
    <row r="144" spans="2:92" s="89" customFormat="1" x14ac:dyDescent="0.35">
      <c r="B144" s="604"/>
      <c r="C144" s="10" t="str">
        <f t="shared" si="4"/>
        <v>Geschäftsreisen</v>
      </c>
      <c r="D144" s="90"/>
      <c r="E144" s="90"/>
      <c r="F144" s="288"/>
      <c r="G144" s="10" t="str">
        <f>IFERROR(VLOOKUP(Geschäftsreisen[[#This Row],[Thema_Bezeichung]],EFs_Geschäftsreisen[],4,FALSE),"")</f>
        <v/>
      </c>
      <c r="H144" s="90"/>
      <c r="I144" s="90"/>
      <c r="J144" s="90"/>
      <c r="K144" s="90"/>
      <c r="L144" s="289" t="str">
        <f>IF(ISBLANK(Geschäftsreisen[[#This Row],[Wert 
(Zahl)]]),"", SUM(Geschäftsreisen[[#This Row],[Scope 1 CO2e '[kg CO2e']]:[Scope 3 CO2e '[kg CO2e']]]))</f>
        <v/>
      </c>
      <c r="M144" s="289" t="str">
        <f>IF(OR(ISBLANK(Geschäftsreisen[[#This Row],[Wert 
(Zahl)]]),Geschäftsreisen[[#This Row],[Scope 3 Ergebnis Nicht-CO2 '[kg CO2e']]]=0),"",Geschäftsreisen[[#This Row],[Scope 3 Ergebnis Nicht-CO2 '[kg CO2e']]])</f>
        <v/>
      </c>
      <c r="N144" s="408"/>
      <c r="O144" s="15" t="str">
        <f>IF(ISBLANK(Geschäftsreisen[[#This Row],[Emissionsquelle/Aktivität (Dropdown)]]),"",CONCATENATE(Geschäftsreisen[[#This Row],[Sektor_Thema]]," - ",Geschäftsreisen[[#This Row],[Emissionsquelle/Aktivität (Dropdown)]]))</f>
        <v/>
      </c>
      <c r="P144" s="15" t="str">
        <f>IF(ISBLANK(Geschäftsreisen[[#This Row],[Emissionsquelle/Aktivität (Dropdown)]]),"",AND(ISNUMBER(SEARCH("PKW",Geschäftsreisen[[#This Row],[Emissionsquelle/Aktivität (Dropdown)]])),ISNUMBER(Geschäftsreisen[[#This Row],[PKW-Auslastung:
Personenzahl/ PKW
(optionale Angabe)]])))</f>
        <v/>
      </c>
      <c r="Q144" s="15" t="str">
        <f>IFERROR(VLOOKUP(Geschäftsreisen[[#This Row],[Thema_Bezeichung]],EFs_Geschäftsreisen[],5,FALSE),"")</f>
        <v/>
      </c>
      <c r="R144" s="15" t="str">
        <f>IFERROR(VLOOKUP(Geschäftsreisen[[#This Row],[Thema_Bezeichung]],EFs_Geschäftsreisen[],6,FALSE),"")</f>
        <v/>
      </c>
      <c r="S144" s="15" t="str">
        <f>IF(Geschäftsreisen[[#This Row],[PKW - Auslastung angegeben?]]=TRUE,IFERROR((VLOOKUP(Geschäftsreisen[[#This Row],[Thema_Bezeichung]],EFs_Geschäftsreisen[],7,FALSE)*VLOOKUP(Geschäftsreisen[[#This Row],[Thema_Bezeichung]],EFs_Geschäftsreisen[],9,FALSE)/Geschäftsreisen[[#This Row],[PKW-Auslastung:
Personenzahl/ PKW
(optionale Angabe)]]),""),IF(Geschäftsreisen[[#This Row],[PKW - Auslastung angegeben?]]=FALSE,IFERROR(VLOOKUP(Geschäftsreisen[[#This Row],[Thema_Bezeichung]],EFs_Geschäftsreisen[],7,FALSE),""),""))</f>
        <v/>
      </c>
      <c r="T144" s="15" t="str">
        <f>IFERROR(VLOOKUP(Geschäftsreisen[[#This Row],[Thema_Bezeichung]],EFs_Geschäftsreisen[],8,FALSE),"")</f>
        <v/>
      </c>
      <c r="U144" s="15" t="str">
        <f>IF(Geschäftsreisen[[#This Row],[PKW - Auslastung angegeben?]]=TRUE,IFERROR(Geschäftsreisen[[#This Row],[Wert 
(Zahl)]]*(Geschäftsreisen[[#This Row],[EF Scope 1 CO2e
(kg CO2e/Einheit)]]*Emissionsfaktoren!$E$324/Geschäftsreisen[[#This Row],[PKW-Auslastung:
Personenzahl/ PKW
(optionale Angabe)]]),""),IFERROR(Geschäftsreisen[[#This Row],[Wert 
(Zahl)]]*Geschäftsreisen[[#This Row],[EF Scope 1 CO2e
(kg CO2e/Einheit)]],""))</f>
        <v/>
      </c>
      <c r="V144" s="15" t="str">
        <f>IF(Geschäftsreisen[[#This Row],[PKW - Auslastung angegeben?]]=TRUE,IFERROR(Geschäftsreisen[[#This Row],[Wert 
(Zahl)]]*(Geschäftsreisen[[#This Row],[EF Scope 2 CO2e
(kg CO2e/Einheit)]]*Emissionsfaktoren!$E$324/Geschäftsreisen[[#This Row],[PKW-Auslastung:
Personenzahl/ PKW
(optionale Angabe)]]),""),IFERROR(Geschäftsreisen[[#This Row],[Wert 
(Zahl)]]*Geschäftsreisen[[#This Row],[EF Scope 2 CO2e
(kg CO2e/Einheit)]],""))</f>
        <v/>
      </c>
      <c r="W144" s="15" t="str">
        <f>IFERROR(Geschäftsreisen[[#This Row],[Wert 
(Zahl)]]*Geschäftsreisen[[#This Row],[EF Scope 3 CO2e
(kg CO2e/Einheit)]],"")</f>
        <v/>
      </c>
      <c r="X144" s="15" t="str">
        <f>IFERROR(Geschäftsreisen[[#This Row],[Wert 
(Zahl)]]*Geschäftsreisen[[#This Row],[Scope 3 EF Nicht-CO2-Effekte '[kg CO2e/Einheit']]],"")</f>
        <v/>
      </c>
    </row>
    <row r="145" spans="2:70" s="89" customFormat="1" x14ac:dyDescent="0.35">
      <c r="B145" s="604"/>
      <c r="C145" s="10" t="str">
        <f t="shared" si="4"/>
        <v>Geschäftsreisen</v>
      </c>
      <c r="D145" s="90"/>
      <c r="E145" s="90"/>
      <c r="F145" s="288"/>
      <c r="G145" s="10" t="str">
        <f>IFERROR(VLOOKUP(Geschäftsreisen[[#This Row],[Thema_Bezeichung]],EFs_Geschäftsreisen[],4,FALSE),"")</f>
        <v/>
      </c>
      <c r="H145" s="90"/>
      <c r="I145" s="90"/>
      <c r="J145" s="90"/>
      <c r="K145" s="90"/>
      <c r="L145" s="289" t="str">
        <f>IF(ISBLANK(Geschäftsreisen[[#This Row],[Wert 
(Zahl)]]),"", SUM(Geschäftsreisen[[#This Row],[Scope 1 CO2e '[kg CO2e']]:[Scope 3 CO2e '[kg CO2e']]]))</f>
        <v/>
      </c>
      <c r="M145" s="289" t="str">
        <f>IF(OR(ISBLANK(Geschäftsreisen[[#This Row],[Wert 
(Zahl)]]),Geschäftsreisen[[#This Row],[Scope 3 Ergebnis Nicht-CO2 '[kg CO2e']]]=0),"",Geschäftsreisen[[#This Row],[Scope 3 Ergebnis Nicht-CO2 '[kg CO2e']]])</f>
        <v/>
      </c>
      <c r="N145" s="408"/>
      <c r="O145" s="15" t="str">
        <f>IF(ISBLANK(Geschäftsreisen[[#This Row],[Emissionsquelle/Aktivität (Dropdown)]]),"",CONCATENATE(Geschäftsreisen[[#This Row],[Sektor_Thema]]," - ",Geschäftsreisen[[#This Row],[Emissionsquelle/Aktivität (Dropdown)]]))</f>
        <v/>
      </c>
      <c r="P145" s="15" t="str">
        <f>IF(ISBLANK(Geschäftsreisen[[#This Row],[Emissionsquelle/Aktivität (Dropdown)]]),"",AND(ISNUMBER(SEARCH("PKW",Geschäftsreisen[[#This Row],[Emissionsquelle/Aktivität (Dropdown)]])),ISNUMBER(Geschäftsreisen[[#This Row],[PKW-Auslastung:
Personenzahl/ PKW
(optionale Angabe)]])))</f>
        <v/>
      </c>
      <c r="Q145" s="15" t="str">
        <f>IFERROR(VLOOKUP(Geschäftsreisen[[#This Row],[Thema_Bezeichung]],EFs_Geschäftsreisen[],5,FALSE),"")</f>
        <v/>
      </c>
      <c r="R145" s="15" t="str">
        <f>IFERROR(VLOOKUP(Geschäftsreisen[[#This Row],[Thema_Bezeichung]],EFs_Geschäftsreisen[],6,FALSE),"")</f>
        <v/>
      </c>
      <c r="S145" s="15" t="str">
        <f>IF(Geschäftsreisen[[#This Row],[PKW - Auslastung angegeben?]]=TRUE,IFERROR((VLOOKUP(Geschäftsreisen[[#This Row],[Thema_Bezeichung]],EFs_Geschäftsreisen[],7,FALSE)*VLOOKUP(Geschäftsreisen[[#This Row],[Thema_Bezeichung]],EFs_Geschäftsreisen[],9,FALSE)/Geschäftsreisen[[#This Row],[PKW-Auslastung:
Personenzahl/ PKW
(optionale Angabe)]]),""),IF(Geschäftsreisen[[#This Row],[PKW - Auslastung angegeben?]]=FALSE,IFERROR(VLOOKUP(Geschäftsreisen[[#This Row],[Thema_Bezeichung]],EFs_Geschäftsreisen[],7,FALSE),""),""))</f>
        <v/>
      </c>
      <c r="T145" s="15" t="str">
        <f>IFERROR(VLOOKUP(Geschäftsreisen[[#This Row],[Thema_Bezeichung]],EFs_Geschäftsreisen[],8,FALSE),"")</f>
        <v/>
      </c>
      <c r="U145" s="15" t="str">
        <f>IF(Geschäftsreisen[[#This Row],[PKW - Auslastung angegeben?]]=TRUE,IFERROR(Geschäftsreisen[[#This Row],[Wert 
(Zahl)]]*(Geschäftsreisen[[#This Row],[EF Scope 1 CO2e
(kg CO2e/Einheit)]]*Emissionsfaktoren!$E$324/Geschäftsreisen[[#This Row],[PKW-Auslastung:
Personenzahl/ PKW
(optionale Angabe)]]),""),IFERROR(Geschäftsreisen[[#This Row],[Wert 
(Zahl)]]*Geschäftsreisen[[#This Row],[EF Scope 1 CO2e
(kg CO2e/Einheit)]],""))</f>
        <v/>
      </c>
      <c r="V145" s="15" t="str">
        <f>IF(Geschäftsreisen[[#This Row],[PKW - Auslastung angegeben?]]=TRUE,IFERROR(Geschäftsreisen[[#This Row],[Wert 
(Zahl)]]*(Geschäftsreisen[[#This Row],[EF Scope 2 CO2e
(kg CO2e/Einheit)]]*Emissionsfaktoren!$E$324/Geschäftsreisen[[#This Row],[PKW-Auslastung:
Personenzahl/ PKW
(optionale Angabe)]]),""),IFERROR(Geschäftsreisen[[#This Row],[Wert 
(Zahl)]]*Geschäftsreisen[[#This Row],[EF Scope 2 CO2e
(kg CO2e/Einheit)]],""))</f>
        <v/>
      </c>
      <c r="W145" s="15" t="str">
        <f>IFERROR(Geschäftsreisen[[#This Row],[Wert 
(Zahl)]]*Geschäftsreisen[[#This Row],[EF Scope 3 CO2e
(kg CO2e/Einheit)]],"")</f>
        <v/>
      </c>
      <c r="X145" s="15" t="str">
        <f>IFERROR(Geschäftsreisen[[#This Row],[Wert 
(Zahl)]]*Geschäftsreisen[[#This Row],[Scope 3 EF Nicht-CO2-Effekte '[kg CO2e/Einheit']]],"")</f>
        <v/>
      </c>
    </row>
    <row r="146" spans="2:70" s="89" customFormat="1" x14ac:dyDescent="0.35">
      <c r="B146" s="604"/>
      <c r="C146" s="10" t="str">
        <f t="shared" si="4"/>
        <v>Geschäftsreisen</v>
      </c>
      <c r="D146" s="90"/>
      <c r="E146" s="90"/>
      <c r="F146" s="288"/>
      <c r="G146" s="10" t="str">
        <f>IFERROR(VLOOKUP(Geschäftsreisen[[#This Row],[Thema_Bezeichung]],EFs_Geschäftsreisen[],4,FALSE),"")</f>
        <v/>
      </c>
      <c r="H146" s="90"/>
      <c r="I146" s="90"/>
      <c r="J146" s="90"/>
      <c r="K146" s="90"/>
      <c r="L146" s="289" t="str">
        <f>IF(ISBLANK(Geschäftsreisen[[#This Row],[Wert 
(Zahl)]]),"", SUM(Geschäftsreisen[[#This Row],[Scope 1 CO2e '[kg CO2e']]:[Scope 3 CO2e '[kg CO2e']]]))</f>
        <v/>
      </c>
      <c r="M146" s="289" t="str">
        <f>IF(OR(ISBLANK(Geschäftsreisen[[#This Row],[Wert 
(Zahl)]]),Geschäftsreisen[[#This Row],[Scope 3 Ergebnis Nicht-CO2 '[kg CO2e']]]=0),"",Geschäftsreisen[[#This Row],[Scope 3 Ergebnis Nicht-CO2 '[kg CO2e']]])</f>
        <v/>
      </c>
      <c r="N146" s="408"/>
      <c r="O146" s="15" t="str">
        <f>IF(ISBLANK(Geschäftsreisen[[#This Row],[Emissionsquelle/Aktivität (Dropdown)]]),"",CONCATENATE(Geschäftsreisen[[#This Row],[Sektor_Thema]]," - ",Geschäftsreisen[[#This Row],[Emissionsquelle/Aktivität (Dropdown)]]))</f>
        <v/>
      </c>
      <c r="P146" s="15" t="str">
        <f>IF(ISBLANK(Geschäftsreisen[[#This Row],[Emissionsquelle/Aktivität (Dropdown)]]),"",AND(ISNUMBER(SEARCH("PKW",Geschäftsreisen[[#This Row],[Emissionsquelle/Aktivität (Dropdown)]])),ISNUMBER(Geschäftsreisen[[#This Row],[PKW-Auslastung:
Personenzahl/ PKW
(optionale Angabe)]])))</f>
        <v/>
      </c>
      <c r="Q146" s="15" t="str">
        <f>IFERROR(VLOOKUP(Geschäftsreisen[[#This Row],[Thema_Bezeichung]],EFs_Geschäftsreisen[],5,FALSE),"")</f>
        <v/>
      </c>
      <c r="R146" s="15" t="str">
        <f>IFERROR(VLOOKUP(Geschäftsreisen[[#This Row],[Thema_Bezeichung]],EFs_Geschäftsreisen[],6,FALSE),"")</f>
        <v/>
      </c>
      <c r="S146" s="15" t="str">
        <f>IF(Geschäftsreisen[[#This Row],[PKW - Auslastung angegeben?]]=TRUE,IFERROR((VLOOKUP(Geschäftsreisen[[#This Row],[Thema_Bezeichung]],EFs_Geschäftsreisen[],7,FALSE)*VLOOKUP(Geschäftsreisen[[#This Row],[Thema_Bezeichung]],EFs_Geschäftsreisen[],9,FALSE)/Geschäftsreisen[[#This Row],[PKW-Auslastung:
Personenzahl/ PKW
(optionale Angabe)]]),""),IF(Geschäftsreisen[[#This Row],[PKW - Auslastung angegeben?]]=FALSE,IFERROR(VLOOKUP(Geschäftsreisen[[#This Row],[Thema_Bezeichung]],EFs_Geschäftsreisen[],7,FALSE),""),""))</f>
        <v/>
      </c>
      <c r="T146" s="15" t="str">
        <f>IFERROR(VLOOKUP(Geschäftsreisen[[#This Row],[Thema_Bezeichung]],EFs_Geschäftsreisen[],8,FALSE),"")</f>
        <v/>
      </c>
      <c r="U146" s="15" t="str">
        <f>IF(Geschäftsreisen[[#This Row],[PKW - Auslastung angegeben?]]=TRUE,IFERROR(Geschäftsreisen[[#This Row],[Wert 
(Zahl)]]*(Geschäftsreisen[[#This Row],[EF Scope 1 CO2e
(kg CO2e/Einheit)]]*Emissionsfaktoren!$E$324/Geschäftsreisen[[#This Row],[PKW-Auslastung:
Personenzahl/ PKW
(optionale Angabe)]]),""),IFERROR(Geschäftsreisen[[#This Row],[Wert 
(Zahl)]]*Geschäftsreisen[[#This Row],[EF Scope 1 CO2e
(kg CO2e/Einheit)]],""))</f>
        <v/>
      </c>
      <c r="V146" s="15" t="str">
        <f>IF(Geschäftsreisen[[#This Row],[PKW - Auslastung angegeben?]]=TRUE,IFERROR(Geschäftsreisen[[#This Row],[Wert 
(Zahl)]]*(Geschäftsreisen[[#This Row],[EF Scope 2 CO2e
(kg CO2e/Einheit)]]*Emissionsfaktoren!$E$324/Geschäftsreisen[[#This Row],[PKW-Auslastung:
Personenzahl/ PKW
(optionale Angabe)]]),""),IFERROR(Geschäftsreisen[[#This Row],[Wert 
(Zahl)]]*Geschäftsreisen[[#This Row],[EF Scope 2 CO2e
(kg CO2e/Einheit)]],""))</f>
        <v/>
      </c>
      <c r="W146" s="15" t="str">
        <f>IFERROR(Geschäftsreisen[[#This Row],[Wert 
(Zahl)]]*Geschäftsreisen[[#This Row],[EF Scope 3 CO2e
(kg CO2e/Einheit)]],"")</f>
        <v/>
      </c>
      <c r="X146" s="15" t="str">
        <f>IFERROR(Geschäftsreisen[[#This Row],[Wert 
(Zahl)]]*Geschäftsreisen[[#This Row],[Scope 3 EF Nicht-CO2-Effekte '[kg CO2e/Einheit']]],"")</f>
        <v/>
      </c>
    </row>
    <row r="147" spans="2:70" s="89" customFormat="1" x14ac:dyDescent="0.35">
      <c r="B147" s="604"/>
      <c r="C147" s="10" t="str">
        <f t="shared" si="4"/>
        <v>Geschäftsreisen</v>
      </c>
      <c r="D147" s="90"/>
      <c r="E147" s="90"/>
      <c r="F147" s="288"/>
      <c r="G147" s="10" t="str">
        <f>IFERROR(VLOOKUP(Geschäftsreisen[[#This Row],[Thema_Bezeichung]],EFs_Geschäftsreisen[],4,FALSE),"")</f>
        <v/>
      </c>
      <c r="H147" s="90"/>
      <c r="I147" s="90"/>
      <c r="J147" s="90"/>
      <c r="K147" s="90"/>
      <c r="L147" s="289" t="str">
        <f>IF(ISBLANK(Geschäftsreisen[[#This Row],[Wert 
(Zahl)]]),"", SUM(Geschäftsreisen[[#This Row],[Scope 1 CO2e '[kg CO2e']]:[Scope 3 CO2e '[kg CO2e']]]))</f>
        <v/>
      </c>
      <c r="M147" s="289" t="str">
        <f>IF(OR(ISBLANK(Geschäftsreisen[[#This Row],[Wert 
(Zahl)]]),Geschäftsreisen[[#This Row],[Scope 3 Ergebnis Nicht-CO2 '[kg CO2e']]]=0),"",Geschäftsreisen[[#This Row],[Scope 3 Ergebnis Nicht-CO2 '[kg CO2e']]])</f>
        <v/>
      </c>
      <c r="N147" s="408"/>
      <c r="O147" s="15" t="str">
        <f>IF(ISBLANK(Geschäftsreisen[[#This Row],[Emissionsquelle/Aktivität (Dropdown)]]),"",CONCATENATE(Geschäftsreisen[[#This Row],[Sektor_Thema]]," - ",Geschäftsreisen[[#This Row],[Emissionsquelle/Aktivität (Dropdown)]]))</f>
        <v/>
      </c>
      <c r="P147" s="15" t="str">
        <f>IF(ISBLANK(Geschäftsreisen[[#This Row],[Emissionsquelle/Aktivität (Dropdown)]]),"",AND(ISNUMBER(SEARCH("PKW",Geschäftsreisen[[#This Row],[Emissionsquelle/Aktivität (Dropdown)]])),ISNUMBER(Geschäftsreisen[[#This Row],[PKW-Auslastung:
Personenzahl/ PKW
(optionale Angabe)]])))</f>
        <v/>
      </c>
      <c r="Q147" s="15" t="str">
        <f>IFERROR(VLOOKUP(Geschäftsreisen[[#This Row],[Thema_Bezeichung]],EFs_Geschäftsreisen[],5,FALSE),"")</f>
        <v/>
      </c>
      <c r="R147" s="15" t="str">
        <f>IFERROR(VLOOKUP(Geschäftsreisen[[#This Row],[Thema_Bezeichung]],EFs_Geschäftsreisen[],6,FALSE),"")</f>
        <v/>
      </c>
      <c r="S147" s="15" t="str">
        <f>IF(Geschäftsreisen[[#This Row],[PKW - Auslastung angegeben?]]=TRUE,IFERROR((VLOOKUP(Geschäftsreisen[[#This Row],[Thema_Bezeichung]],EFs_Geschäftsreisen[],7,FALSE)*VLOOKUP(Geschäftsreisen[[#This Row],[Thema_Bezeichung]],EFs_Geschäftsreisen[],9,FALSE)/Geschäftsreisen[[#This Row],[PKW-Auslastung:
Personenzahl/ PKW
(optionale Angabe)]]),""),IF(Geschäftsreisen[[#This Row],[PKW - Auslastung angegeben?]]=FALSE,IFERROR(VLOOKUP(Geschäftsreisen[[#This Row],[Thema_Bezeichung]],EFs_Geschäftsreisen[],7,FALSE),""),""))</f>
        <v/>
      </c>
      <c r="T147" s="15" t="str">
        <f>IFERROR(VLOOKUP(Geschäftsreisen[[#This Row],[Thema_Bezeichung]],EFs_Geschäftsreisen[],8,FALSE),"")</f>
        <v/>
      </c>
      <c r="U147" s="15" t="str">
        <f>IF(Geschäftsreisen[[#This Row],[PKW - Auslastung angegeben?]]=TRUE,IFERROR(Geschäftsreisen[[#This Row],[Wert 
(Zahl)]]*(Geschäftsreisen[[#This Row],[EF Scope 1 CO2e
(kg CO2e/Einheit)]]*Emissionsfaktoren!$E$324/Geschäftsreisen[[#This Row],[PKW-Auslastung:
Personenzahl/ PKW
(optionale Angabe)]]),""),IFERROR(Geschäftsreisen[[#This Row],[Wert 
(Zahl)]]*Geschäftsreisen[[#This Row],[EF Scope 1 CO2e
(kg CO2e/Einheit)]],""))</f>
        <v/>
      </c>
      <c r="V147" s="15" t="str">
        <f>IF(Geschäftsreisen[[#This Row],[PKW - Auslastung angegeben?]]=TRUE,IFERROR(Geschäftsreisen[[#This Row],[Wert 
(Zahl)]]*(Geschäftsreisen[[#This Row],[EF Scope 2 CO2e
(kg CO2e/Einheit)]]*Emissionsfaktoren!$E$324/Geschäftsreisen[[#This Row],[PKW-Auslastung:
Personenzahl/ PKW
(optionale Angabe)]]),""),IFERROR(Geschäftsreisen[[#This Row],[Wert 
(Zahl)]]*Geschäftsreisen[[#This Row],[EF Scope 2 CO2e
(kg CO2e/Einheit)]],""))</f>
        <v/>
      </c>
      <c r="W147" s="15" t="str">
        <f>IFERROR(Geschäftsreisen[[#This Row],[Wert 
(Zahl)]]*Geschäftsreisen[[#This Row],[EF Scope 3 CO2e
(kg CO2e/Einheit)]],"")</f>
        <v/>
      </c>
      <c r="X147" s="15" t="str">
        <f>IFERROR(Geschäftsreisen[[#This Row],[Wert 
(Zahl)]]*Geschäftsreisen[[#This Row],[Scope 3 EF Nicht-CO2-Effekte '[kg CO2e/Einheit']]],"")</f>
        <v/>
      </c>
    </row>
    <row r="148" spans="2:70" s="89" customFormat="1" x14ac:dyDescent="0.35">
      <c r="B148" s="604"/>
      <c r="C148" s="10" t="str">
        <f t="shared" si="4"/>
        <v>Geschäftsreisen</v>
      </c>
      <c r="D148" s="90"/>
      <c r="E148" s="90"/>
      <c r="F148" s="288"/>
      <c r="G148" s="10" t="str">
        <f>IFERROR(VLOOKUP(Geschäftsreisen[[#This Row],[Thema_Bezeichung]],EFs_Geschäftsreisen[],4,FALSE),"")</f>
        <v/>
      </c>
      <c r="H148" s="90"/>
      <c r="I148" s="90"/>
      <c r="J148" s="90"/>
      <c r="K148" s="90"/>
      <c r="L148" s="289" t="str">
        <f>IF(ISBLANK(Geschäftsreisen[[#This Row],[Wert 
(Zahl)]]),"", SUM(Geschäftsreisen[[#This Row],[Scope 1 CO2e '[kg CO2e']]:[Scope 3 CO2e '[kg CO2e']]]))</f>
        <v/>
      </c>
      <c r="M148" s="289" t="str">
        <f>IF(OR(ISBLANK(Geschäftsreisen[[#This Row],[Wert 
(Zahl)]]),Geschäftsreisen[[#This Row],[Scope 3 Ergebnis Nicht-CO2 '[kg CO2e']]]=0),"",Geschäftsreisen[[#This Row],[Scope 3 Ergebnis Nicht-CO2 '[kg CO2e']]])</f>
        <v/>
      </c>
      <c r="N148" s="408"/>
      <c r="O148" s="15" t="str">
        <f>IF(ISBLANK(Geschäftsreisen[[#This Row],[Emissionsquelle/Aktivität (Dropdown)]]),"",CONCATENATE(Geschäftsreisen[[#This Row],[Sektor_Thema]]," - ",Geschäftsreisen[[#This Row],[Emissionsquelle/Aktivität (Dropdown)]]))</f>
        <v/>
      </c>
      <c r="P148" s="15" t="str">
        <f>IF(ISBLANK(Geschäftsreisen[[#This Row],[Emissionsquelle/Aktivität (Dropdown)]]),"",AND(ISNUMBER(SEARCH("PKW",Geschäftsreisen[[#This Row],[Emissionsquelle/Aktivität (Dropdown)]])),ISNUMBER(Geschäftsreisen[[#This Row],[PKW-Auslastung:
Personenzahl/ PKW
(optionale Angabe)]])))</f>
        <v/>
      </c>
      <c r="Q148" s="15" t="str">
        <f>IFERROR(VLOOKUP(Geschäftsreisen[[#This Row],[Thema_Bezeichung]],EFs_Geschäftsreisen[],5,FALSE),"")</f>
        <v/>
      </c>
      <c r="R148" s="15" t="str">
        <f>IFERROR(VLOOKUP(Geschäftsreisen[[#This Row],[Thema_Bezeichung]],EFs_Geschäftsreisen[],6,FALSE),"")</f>
        <v/>
      </c>
      <c r="S148" s="15" t="str">
        <f>IF(Geschäftsreisen[[#This Row],[PKW - Auslastung angegeben?]]=TRUE,IFERROR((VLOOKUP(Geschäftsreisen[[#This Row],[Thema_Bezeichung]],EFs_Geschäftsreisen[],7,FALSE)*VLOOKUP(Geschäftsreisen[[#This Row],[Thema_Bezeichung]],EFs_Geschäftsreisen[],9,FALSE)/Geschäftsreisen[[#This Row],[PKW-Auslastung:
Personenzahl/ PKW
(optionale Angabe)]]),""),IF(Geschäftsreisen[[#This Row],[PKW - Auslastung angegeben?]]=FALSE,IFERROR(VLOOKUP(Geschäftsreisen[[#This Row],[Thema_Bezeichung]],EFs_Geschäftsreisen[],7,FALSE),""),""))</f>
        <v/>
      </c>
      <c r="T148" s="15" t="str">
        <f>IFERROR(VLOOKUP(Geschäftsreisen[[#This Row],[Thema_Bezeichung]],EFs_Geschäftsreisen[],8,FALSE),"")</f>
        <v/>
      </c>
      <c r="U148" s="15" t="str">
        <f>IF(Geschäftsreisen[[#This Row],[PKW - Auslastung angegeben?]]=TRUE,IFERROR(Geschäftsreisen[[#This Row],[Wert 
(Zahl)]]*(Geschäftsreisen[[#This Row],[EF Scope 1 CO2e
(kg CO2e/Einheit)]]*Emissionsfaktoren!$E$324/Geschäftsreisen[[#This Row],[PKW-Auslastung:
Personenzahl/ PKW
(optionale Angabe)]]),""),IFERROR(Geschäftsreisen[[#This Row],[Wert 
(Zahl)]]*Geschäftsreisen[[#This Row],[EF Scope 1 CO2e
(kg CO2e/Einheit)]],""))</f>
        <v/>
      </c>
      <c r="V148" s="15" t="str">
        <f>IF(Geschäftsreisen[[#This Row],[PKW - Auslastung angegeben?]]=TRUE,IFERROR(Geschäftsreisen[[#This Row],[Wert 
(Zahl)]]*(Geschäftsreisen[[#This Row],[EF Scope 2 CO2e
(kg CO2e/Einheit)]]*Emissionsfaktoren!$E$324/Geschäftsreisen[[#This Row],[PKW-Auslastung:
Personenzahl/ PKW
(optionale Angabe)]]),""),IFERROR(Geschäftsreisen[[#This Row],[Wert 
(Zahl)]]*Geschäftsreisen[[#This Row],[EF Scope 2 CO2e
(kg CO2e/Einheit)]],""))</f>
        <v/>
      </c>
      <c r="W148" s="15" t="str">
        <f>IFERROR(Geschäftsreisen[[#This Row],[Wert 
(Zahl)]]*Geschäftsreisen[[#This Row],[EF Scope 3 CO2e
(kg CO2e/Einheit)]],"")</f>
        <v/>
      </c>
      <c r="X148" s="15" t="str">
        <f>IFERROR(Geschäftsreisen[[#This Row],[Wert 
(Zahl)]]*Geschäftsreisen[[#This Row],[Scope 3 EF Nicht-CO2-Effekte '[kg CO2e/Einheit']]],"")</f>
        <v/>
      </c>
    </row>
    <row r="149" spans="2:70" s="89" customFormat="1" x14ac:dyDescent="0.35">
      <c r="B149" s="604"/>
      <c r="C149" s="10" t="str">
        <f t="shared" si="4"/>
        <v>Geschäftsreisen</v>
      </c>
      <c r="D149" s="90"/>
      <c r="E149" s="90"/>
      <c r="F149" s="288"/>
      <c r="G149" s="10" t="str">
        <f>IFERROR(VLOOKUP(Geschäftsreisen[[#This Row],[Thema_Bezeichung]],EFs_Geschäftsreisen[],4,FALSE),"")</f>
        <v/>
      </c>
      <c r="H149" s="90"/>
      <c r="I149" s="90"/>
      <c r="J149" s="90"/>
      <c r="K149" s="90"/>
      <c r="L149" s="289" t="str">
        <f>IF(ISBLANK(Geschäftsreisen[[#This Row],[Wert 
(Zahl)]]),"", SUM(Geschäftsreisen[[#This Row],[Scope 1 CO2e '[kg CO2e']]:[Scope 3 CO2e '[kg CO2e']]]))</f>
        <v/>
      </c>
      <c r="M149" s="289" t="str">
        <f>IF(OR(ISBLANK(Geschäftsreisen[[#This Row],[Wert 
(Zahl)]]),Geschäftsreisen[[#This Row],[Scope 3 Ergebnis Nicht-CO2 '[kg CO2e']]]=0),"",Geschäftsreisen[[#This Row],[Scope 3 Ergebnis Nicht-CO2 '[kg CO2e']]])</f>
        <v/>
      </c>
      <c r="N149" s="408"/>
      <c r="O149" s="15" t="str">
        <f>IF(ISBLANK(Geschäftsreisen[[#This Row],[Emissionsquelle/Aktivität (Dropdown)]]),"",CONCATENATE(Geschäftsreisen[[#This Row],[Sektor_Thema]]," - ",Geschäftsreisen[[#This Row],[Emissionsquelle/Aktivität (Dropdown)]]))</f>
        <v/>
      </c>
      <c r="P149" s="15" t="str">
        <f>IF(ISBLANK(Geschäftsreisen[[#This Row],[Emissionsquelle/Aktivität (Dropdown)]]),"",AND(ISNUMBER(SEARCH("PKW",Geschäftsreisen[[#This Row],[Emissionsquelle/Aktivität (Dropdown)]])),ISNUMBER(Geschäftsreisen[[#This Row],[PKW-Auslastung:
Personenzahl/ PKW
(optionale Angabe)]])))</f>
        <v/>
      </c>
      <c r="Q149" s="15" t="str">
        <f>IFERROR(VLOOKUP(Geschäftsreisen[[#This Row],[Thema_Bezeichung]],EFs_Geschäftsreisen[],5,FALSE),"")</f>
        <v/>
      </c>
      <c r="R149" s="15" t="str">
        <f>IFERROR(VLOOKUP(Geschäftsreisen[[#This Row],[Thema_Bezeichung]],EFs_Geschäftsreisen[],6,FALSE),"")</f>
        <v/>
      </c>
      <c r="S149" s="15" t="str">
        <f>IF(Geschäftsreisen[[#This Row],[PKW - Auslastung angegeben?]]=TRUE,IFERROR((VLOOKUP(Geschäftsreisen[[#This Row],[Thema_Bezeichung]],EFs_Geschäftsreisen[],7,FALSE)*VLOOKUP(Geschäftsreisen[[#This Row],[Thema_Bezeichung]],EFs_Geschäftsreisen[],9,FALSE)/Geschäftsreisen[[#This Row],[PKW-Auslastung:
Personenzahl/ PKW
(optionale Angabe)]]),""),IF(Geschäftsreisen[[#This Row],[PKW - Auslastung angegeben?]]=FALSE,IFERROR(VLOOKUP(Geschäftsreisen[[#This Row],[Thema_Bezeichung]],EFs_Geschäftsreisen[],7,FALSE),""),""))</f>
        <v/>
      </c>
      <c r="T149" s="15" t="str">
        <f>IFERROR(VLOOKUP(Geschäftsreisen[[#This Row],[Thema_Bezeichung]],EFs_Geschäftsreisen[],8,FALSE),"")</f>
        <v/>
      </c>
      <c r="U149" s="15" t="str">
        <f>IF(Geschäftsreisen[[#This Row],[PKW - Auslastung angegeben?]]=TRUE,IFERROR(Geschäftsreisen[[#This Row],[Wert 
(Zahl)]]*(Geschäftsreisen[[#This Row],[EF Scope 1 CO2e
(kg CO2e/Einheit)]]*Emissionsfaktoren!$E$324/Geschäftsreisen[[#This Row],[PKW-Auslastung:
Personenzahl/ PKW
(optionale Angabe)]]),""),IFERROR(Geschäftsreisen[[#This Row],[Wert 
(Zahl)]]*Geschäftsreisen[[#This Row],[EF Scope 1 CO2e
(kg CO2e/Einheit)]],""))</f>
        <v/>
      </c>
      <c r="V149" s="15" t="str">
        <f>IF(Geschäftsreisen[[#This Row],[PKW - Auslastung angegeben?]]=TRUE,IFERROR(Geschäftsreisen[[#This Row],[Wert 
(Zahl)]]*(Geschäftsreisen[[#This Row],[EF Scope 2 CO2e
(kg CO2e/Einheit)]]*Emissionsfaktoren!$E$324/Geschäftsreisen[[#This Row],[PKW-Auslastung:
Personenzahl/ PKW
(optionale Angabe)]]),""),IFERROR(Geschäftsreisen[[#This Row],[Wert 
(Zahl)]]*Geschäftsreisen[[#This Row],[EF Scope 2 CO2e
(kg CO2e/Einheit)]],""))</f>
        <v/>
      </c>
      <c r="W149" s="15" t="str">
        <f>IFERROR(Geschäftsreisen[[#This Row],[Wert 
(Zahl)]]*Geschäftsreisen[[#This Row],[EF Scope 3 CO2e
(kg CO2e/Einheit)]],"")</f>
        <v/>
      </c>
      <c r="X149" s="15" t="str">
        <f>IFERROR(Geschäftsreisen[[#This Row],[Wert 
(Zahl)]]*Geschäftsreisen[[#This Row],[Scope 3 EF Nicht-CO2-Effekte '[kg CO2e/Einheit']]],"")</f>
        <v/>
      </c>
    </row>
    <row r="150" spans="2:70" s="89" customFormat="1" x14ac:dyDescent="0.35">
      <c r="B150" s="604"/>
      <c r="C150" s="10" t="str">
        <f t="shared" si="4"/>
        <v>Geschäftsreisen</v>
      </c>
      <c r="D150" s="90"/>
      <c r="E150" s="90"/>
      <c r="F150" s="288"/>
      <c r="G150" s="10" t="str">
        <f>IFERROR(VLOOKUP(Geschäftsreisen[[#This Row],[Thema_Bezeichung]],EFs_Geschäftsreisen[],4,FALSE),"")</f>
        <v/>
      </c>
      <c r="H150" s="90"/>
      <c r="I150" s="90"/>
      <c r="J150" s="90"/>
      <c r="K150" s="90"/>
      <c r="L150" s="289" t="str">
        <f>IF(ISBLANK(Geschäftsreisen[[#This Row],[Wert 
(Zahl)]]),"", SUM(Geschäftsreisen[[#This Row],[Scope 1 CO2e '[kg CO2e']]:[Scope 3 CO2e '[kg CO2e']]]))</f>
        <v/>
      </c>
      <c r="M150" s="289" t="str">
        <f>IF(OR(ISBLANK(Geschäftsreisen[[#This Row],[Wert 
(Zahl)]]),Geschäftsreisen[[#This Row],[Scope 3 Ergebnis Nicht-CO2 '[kg CO2e']]]=0),"",Geschäftsreisen[[#This Row],[Scope 3 Ergebnis Nicht-CO2 '[kg CO2e']]])</f>
        <v/>
      </c>
      <c r="N150" s="408"/>
      <c r="O150" s="15" t="str">
        <f>IF(ISBLANK(Geschäftsreisen[[#This Row],[Emissionsquelle/Aktivität (Dropdown)]]),"",CONCATENATE(Geschäftsreisen[[#This Row],[Sektor_Thema]]," - ",Geschäftsreisen[[#This Row],[Emissionsquelle/Aktivität (Dropdown)]]))</f>
        <v/>
      </c>
      <c r="P150" s="15" t="str">
        <f>IF(ISBLANK(Geschäftsreisen[[#This Row],[Emissionsquelle/Aktivität (Dropdown)]]),"",AND(ISNUMBER(SEARCH("PKW",Geschäftsreisen[[#This Row],[Emissionsquelle/Aktivität (Dropdown)]])),ISNUMBER(Geschäftsreisen[[#This Row],[PKW-Auslastung:
Personenzahl/ PKW
(optionale Angabe)]])))</f>
        <v/>
      </c>
      <c r="Q150" s="15" t="str">
        <f>IFERROR(VLOOKUP(Geschäftsreisen[[#This Row],[Thema_Bezeichung]],EFs_Geschäftsreisen[],5,FALSE),"")</f>
        <v/>
      </c>
      <c r="R150" s="15" t="str">
        <f>IFERROR(VLOOKUP(Geschäftsreisen[[#This Row],[Thema_Bezeichung]],EFs_Geschäftsreisen[],6,FALSE),"")</f>
        <v/>
      </c>
      <c r="S150" s="15" t="str">
        <f>IF(Geschäftsreisen[[#This Row],[PKW - Auslastung angegeben?]]=TRUE,IFERROR((VLOOKUP(Geschäftsreisen[[#This Row],[Thema_Bezeichung]],EFs_Geschäftsreisen[],7,FALSE)*VLOOKUP(Geschäftsreisen[[#This Row],[Thema_Bezeichung]],EFs_Geschäftsreisen[],9,FALSE)/Geschäftsreisen[[#This Row],[PKW-Auslastung:
Personenzahl/ PKW
(optionale Angabe)]]),""),IF(Geschäftsreisen[[#This Row],[PKW - Auslastung angegeben?]]=FALSE,IFERROR(VLOOKUP(Geschäftsreisen[[#This Row],[Thema_Bezeichung]],EFs_Geschäftsreisen[],7,FALSE),""),""))</f>
        <v/>
      </c>
      <c r="T150" s="15" t="str">
        <f>IFERROR(VLOOKUP(Geschäftsreisen[[#This Row],[Thema_Bezeichung]],EFs_Geschäftsreisen[],8,FALSE),"")</f>
        <v/>
      </c>
      <c r="U150" s="15" t="str">
        <f>IF(Geschäftsreisen[[#This Row],[PKW - Auslastung angegeben?]]=TRUE,IFERROR(Geschäftsreisen[[#This Row],[Wert 
(Zahl)]]*(Geschäftsreisen[[#This Row],[EF Scope 1 CO2e
(kg CO2e/Einheit)]]*Emissionsfaktoren!$E$324/Geschäftsreisen[[#This Row],[PKW-Auslastung:
Personenzahl/ PKW
(optionale Angabe)]]),""),IFERROR(Geschäftsreisen[[#This Row],[Wert 
(Zahl)]]*Geschäftsreisen[[#This Row],[EF Scope 1 CO2e
(kg CO2e/Einheit)]],""))</f>
        <v/>
      </c>
      <c r="V150" s="15" t="str">
        <f>IF(Geschäftsreisen[[#This Row],[PKW - Auslastung angegeben?]]=TRUE,IFERROR(Geschäftsreisen[[#This Row],[Wert 
(Zahl)]]*(Geschäftsreisen[[#This Row],[EF Scope 2 CO2e
(kg CO2e/Einheit)]]*Emissionsfaktoren!$E$324/Geschäftsreisen[[#This Row],[PKW-Auslastung:
Personenzahl/ PKW
(optionale Angabe)]]),""),IFERROR(Geschäftsreisen[[#This Row],[Wert 
(Zahl)]]*Geschäftsreisen[[#This Row],[EF Scope 2 CO2e
(kg CO2e/Einheit)]],""))</f>
        <v/>
      </c>
      <c r="W150" s="15" t="str">
        <f>IFERROR(Geschäftsreisen[[#This Row],[Wert 
(Zahl)]]*Geschäftsreisen[[#This Row],[EF Scope 3 CO2e
(kg CO2e/Einheit)]],"")</f>
        <v/>
      </c>
      <c r="X150" s="15" t="str">
        <f>IFERROR(Geschäftsreisen[[#This Row],[Wert 
(Zahl)]]*Geschäftsreisen[[#This Row],[Scope 3 EF Nicht-CO2-Effekte '[kg CO2e/Einheit']]],"")</f>
        <v/>
      </c>
    </row>
    <row r="151" spans="2:70" s="89" customFormat="1" x14ac:dyDescent="0.35">
      <c r="B151" s="604"/>
      <c r="C151" s="10" t="str">
        <f t="shared" si="4"/>
        <v>Geschäftsreisen</v>
      </c>
      <c r="D151" s="90"/>
      <c r="E151" s="90"/>
      <c r="F151" s="288"/>
      <c r="G151" s="10" t="str">
        <f>IFERROR(VLOOKUP(Geschäftsreisen[[#This Row],[Thema_Bezeichung]],EFs_Geschäftsreisen[],4,FALSE),"")</f>
        <v/>
      </c>
      <c r="H151" s="90"/>
      <c r="I151" s="90"/>
      <c r="J151" s="90"/>
      <c r="K151" s="90"/>
      <c r="L151" s="289" t="str">
        <f>IF(ISBLANK(Geschäftsreisen[[#This Row],[Wert 
(Zahl)]]),"", SUM(Geschäftsreisen[[#This Row],[Scope 1 CO2e '[kg CO2e']]:[Scope 3 CO2e '[kg CO2e']]]))</f>
        <v/>
      </c>
      <c r="M151" s="289" t="str">
        <f>IF(OR(ISBLANK(Geschäftsreisen[[#This Row],[Wert 
(Zahl)]]),Geschäftsreisen[[#This Row],[Scope 3 Ergebnis Nicht-CO2 '[kg CO2e']]]=0),"",Geschäftsreisen[[#This Row],[Scope 3 Ergebnis Nicht-CO2 '[kg CO2e']]])</f>
        <v/>
      </c>
      <c r="N151" s="408"/>
      <c r="O151" s="15" t="str">
        <f>IF(ISBLANK(Geschäftsreisen[[#This Row],[Emissionsquelle/Aktivität (Dropdown)]]),"",CONCATENATE(Geschäftsreisen[[#This Row],[Sektor_Thema]]," - ",Geschäftsreisen[[#This Row],[Emissionsquelle/Aktivität (Dropdown)]]))</f>
        <v/>
      </c>
      <c r="P151" s="15" t="str">
        <f>IF(ISBLANK(Geschäftsreisen[[#This Row],[Emissionsquelle/Aktivität (Dropdown)]]),"",AND(ISNUMBER(SEARCH("PKW",Geschäftsreisen[[#This Row],[Emissionsquelle/Aktivität (Dropdown)]])),ISNUMBER(Geschäftsreisen[[#This Row],[PKW-Auslastung:
Personenzahl/ PKW
(optionale Angabe)]])))</f>
        <v/>
      </c>
      <c r="Q151" s="15" t="str">
        <f>IFERROR(VLOOKUP(Geschäftsreisen[[#This Row],[Thema_Bezeichung]],EFs_Geschäftsreisen[],5,FALSE),"")</f>
        <v/>
      </c>
      <c r="R151" s="15" t="str">
        <f>IFERROR(VLOOKUP(Geschäftsreisen[[#This Row],[Thema_Bezeichung]],EFs_Geschäftsreisen[],6,FALSE),"")</f>
        <v/>
      </c>
      <c r="S151" s="15" t="str">
        <f>IF(Geschäftsreisen[[#This Row],[PKW - Auslastung angegeben?]]=TRUE,IFERROR((VLOOKUP(Geschäftsreisen[[#This Row],[Thema_Bezeichung]],EFs_Geschäftsreisen[],7,FALSE)*VLOOKUP(Geschäftsreisen[[#This Row],[Thema_Bezeichung]],EFs_Geschäftsreisen[],9,FALSE)/Geschäftsreisen[[#This Row],[PKW-Auslastung:
Personenzahl/ PKW
(optionale Angabe)]]),""),IF(Geschäftsreisen[[#This Row],[PKW - Auslastung angegeben?]]=FALSE,IFERROR(VLOOKUP(Geschäftsreisen[[#This Row],[Thema_Bezeichung]],EFs_Geschäftsreisen[],7,FALSE),""),""))</f>
        <v/>
      </c>
      <c r="T151" s="15" t="str">
        <f>IFERROR(VLOOKUP(Geschäftsreisen[[#This Row],[Thema_Bezeichung]],EFs_Geschäftsreisen[],8,FALSE),"")</f>
        <v/>
      </c>
      <c r="U151" s="15" t="str">
        <f>IF(Geschäftsreisen[[#This Row],[PKW - Auslastung angegeben?]]=TRUE,IFERROR(Geschäftsreisen[[#This Row],[Wert 
(Zahl)]]*(Geschäftsreisen[[#This Row],[EF Scope 1 CO2e
(kg CO2e/Einheit)]]*Emissionsfaktoren!$E$324/Geschäftsreisen[[#This Row],[PKW-Auslastung:
Personenzahl/ PKW
(optionale Angabe)]]),""),IFERROR(Geschäftsreisen[[#This Row],[Wert 
(Zahl)]]*Geschäftsreisen[[#This Row],[EF Scope 1 CO2e
(kg CO2e/Einheit)]],""))</f>
        <v/>
      </c>
      <c r="V151" s="15" t="str">
        <f>IF(Geschäftsreisen[[#This Row],[PKW - Auslastung angegeben?]]=TRUE,IFERROR(Geschäftsreisen[[#This Row],[Wert 
(Zahl)]]*(Geschäftsreisen[[#This Row],[EF Scope 2 CO2e
(kg CO2e/Einheit)]]*Emissionsfaktoren!$E$324/Geschäftsreisen[[#This Row],[PKW-Auslastung:
Personenzahl/ PKW
(optionale Angabe)]]),""),IFERROR(Geschäftsreisen[[#This Row],[Wert 
(Zahl)]]*Geschäftsreisen[[#This Row],[EF Scope 2 CO2e
(kg CO2e/Einheit)]],""))</f>
        <v/>
      </c>
      <c r="W151" s="15" t="str">
        <f>IFERROR(Geschäftsreisen[[#This Row],[Wert 
(Zahl)]]*Geschäftsreisen[[#This Row],[EF Scope 3 CO2e
(kg CO2e/Einheit)]],"")</f>
        <v/>
      </c>
      <c r="X151" s="15" t="str">
        <f>IFERROR(Geschäftsreisen[[#This Row],[Wert 
(Zahl)]]*Geschäftsreisen[[#This Row],[Scope 3 EF Nicht-CO2-Effekte '[kg CO2e/Einheit']]],"")</f>
        <v/>
      </c>
    </row>
    <row r="152" spans="2:70" s="89" customFormat="1" x14ac:dyDescent="0.35">
      <c r="B152" s="604"/>
      <c r="C152" s="10" t="str">
        <f t="shared" si="4"/>
        <v>Geschäftsreisen</v>
      </c>
      <c r="D152" s="90"/>
      <c r="E152" s="90"/>
      <c r="F152" s="288"/>
      <c r="G152" s="10" t="str">
        <f>IFERROR(VLOOKUP(Geschäftsreisen[[#This Row],[Thema_Bezeichung]],EFs_Geschäftsreisen[],4,FALSE),"")</f>
        <v/>
      </c>
      <c r="H152" s="90"/>
      <c r="I152" s="90"/>
      <c r="J152" s="90"/>
      <c r="K152" s="90"/>
      <c r="L152" s="289" t="str">
        <f>IF(ISBLANK(Geschäftsreisen[[#This Row],[Wert 
(Zahl)]]),"", SUM(Geschäftsreisen[[#This Row],[Scope 1 CO2e '[kg CO2e']]:[Scope 3 CO2e '[kg CO2e']]]))</f>
        <v/>
      </c>
      <c r="M152" s="289" t="str">
        <f>IF(OR(ISBLANK(Geschäftsreisen[[#This Row],[Wert 
(Zahl)]]),Geschäftsreisen[[#This Row],[Scope 3 Ergebnis Nicht-CO2 '[kg CO2e']]]=0),"",Geschäftsreisen[[#This Row],[Scope 3 Ergebnis Nicht-CO2 '[kg CO2e']]])</f>
        <v/>
      </c>
      <c r="N152" s="408"/>
      <c r="O152" s="15" t="str">
        <f>IF(ISBLANK(Geschäftsreisen[[#This Row],[Emissionsquelle/Aktivität (Dropdown)]]),"",CONCATENATE(Geschäftsreisen[[#This Row],[Sektor_Thema]]," - ",Geschäftsreisen[[#This Row],[Emissionsquelle/Aktivität (Dropdown)]]))</f>
        <v/>
      </c>
      <c r="P152" s="15" t="str">
        <f>IF(ISBLANK(Geschäftsreisen[[#This Row],[Emissionsquelle/Aktivität (Dropdown)]]),"",AND(ISNUMBER(SEARCH("PKW",Geschäftsreisen[[#This Row],[Emissionsquelle/Aktivität (Dropdown)]])),ISNUMBER(Geschäftsreisen[[#This Row],[PKW-Auslastung:
Personenzahl/ PKW
(optionale Angabe)]])))</f>
        <v/>
      </c>
      <c r="Q152" s="15" t="str">
        <f>IFERROR(VLOOKUP(Geschäftsreisen[[#This Row],[Thema_Bezeichung]],EFs_Geschäftsreisen[],5,FALSE),"")</f>
        <v/>
      </c>
      <c r="R152" s="15" t="str">
        <f>IFERROR(VLOOKUP(Geschäftsreisen[[#This Row],[Thema_Bezeichung]],EFs_Geschäftsreisen[],6,FALSE),"")</f>
        <v/>
      </c>
      <c r="S152" s="15" t="str">
        <f>IF(Geschäftsreisen[[#This Row],[PKW - Auslastung angegeben?]]=TRUE,IFERROR((VLOOKUP(Geschäftsreisen[[#This Row],[Thema_Bezeichung]],EFs_Geschäftsreisen[],7,FALSE)*VLOOKUP(Geschäftsreisen[[#This Row],[Thema_Bezeichung]],EFs_Geschäftsreisen[],9,FALSE)/Geschäftsreisen[[#This Row],[PKW-Auslastung:
Personenzahl/ PKW
(optionale Angabe)]]),""),IF(Geschäftsreisen[[#This Row],[PKW - Auslastung angegeben?]]=FALSE,IFERROR(VLOOKUP(Geschäftsreisen[[#This Row],[Thema_Bezeichung]],EFs_Geschäftsreisen[],7,FALSE),""),""))</f>
        <v/>
      </c>
      <c r="T152" s="15" t="str">
        <f>IFERROR(VLOOKUP(Geschäftsreisen[[#This Row],[Thema_Bezeichung]],EFs_Geschäftsreisen[],8,FALSE),"")</f>
        <v/>
      </c>
      <c r="U152" s="15" t="str">
        <f>IF(Geschäftsreisen[[#This Row],[PKW - Auslastung angegeben?]]=TRUE,IFERROR(Geschäftsreisen[[#This Row],[Wert 
(Zahl)]]*(Geschäftsreisen[[#This Row],[EF Scope 1 CO2e
(kg CO2e/Einheit)]]*Emissionsfaktoren!$E$324/Geschäftsreisen[[#This Row],[PKW-Auslastung:
Personenzahl/ PKW
(optionale Angabe)]]),""),IFERROR(Geschäftsreisen[[#This Row],[Wert 
(Zahl)]]*Geschäftsreisen[[#This Row],[EF Scope 1 CO2e
(kg CO2e/Einheit)]],""))</f>
        <v/>
      </c>
      <c r="V152" s="15" t="str">
        <f>IF(Geschäftsreisen[[#This Row],[PKW - Auslastung angegeben?]]=TRUE,IFERROR(Geschäftsreisen[[#This Row],[Wert 
(Zahl)]]*(Geschäftsreisen[[#This Row],[EF Scope 2 CO2e
(kg CO2e/Einheit)]]*Emissionsfaktoren!$E$324/Geschäftsreisen[[#This Row],[PKW-Auslastung:
Personenzahl/ PKW
(optionale Angabe)]]),""),IFERROR(Geschäftsreisen[[#This Row],[Wert 
(Zahl)]]*Geschäftsreisen[[#This Row],[EF Scope 2 CO2e
(kg CO2e/Einheit)]],""))</f>
        <v/>
      </c>
      <c r="W152" s="15" t="str">
        <f>IFERROR(Geschäftsreisen[[#This Row],[Wert 
(Zahl)]]*Geschäftsreisen[[#This Row],[EF Scope 3 CO2e
(kg CO2e/Einheit)]],"")</f>
        <v/>
      </c>
      <c r="X152" s="15" t="str">
        <f>IFERROR(Geschäftsreisen[[#This Row],[Wert 
(Zahl)]]*Geschäftsreisen[[#This Row],[Scope 3 EF Nicht-CO2-Effekte '[kg CO2e/Einheit']]],"")</f>
        <v/>
      </c>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row>
    <row r="153" spans="2:70" s="89" customFormat="1" x14ac:dyDescent="0.35">
      <c r="B153" s="604"/>
      <c r="C153" s="10" t="str">
        <f t="shared" si="4"/>
        <v>Geschäftsreisen</v>
      </c>
      <c r="D153" s="90"/>
      <c r="E153" s="90"/>
      <c r="F153" s="288"/>
      <c r="G153" s="10" t="str">
        <f>IFERROR(VLOOKUP(Geschäftsreisen[[#This Row],[Thema_Bezeichung]],EFs_Geschäftsreisen[],4,FALSE),"")</f>
        <v/>
      </c>
      <c r="H153" s="90"/>
      <c r="I153" s="90"/>
      <c r="J153" s="90"/>
      <c r="K153" s="90"/>
      <c r="L153" s="289" t="str">
        <f>IF(ISBLANK(Geschäftsreisen[[#This Row],[Wert 
(Zahl)]]),"", SUM(Geschäftsreisen[[#This Row],[Scope 1 CO2e '[kg CO2e']]:[Scope 3 CO2e '[kg CO2e']]]))</f>
        <v/>
      </c>
      <c r="M153" s="289" t="str">
        <f>IF(OR(ISBLANK(Geschäftsreisen[[#This Row],[Wert 
(Zahl)]]),Geschäftsreisen[[#This Row],[Scope 3 Ergebnis Nicht-CO2 '[kg CO2e']]]=0),"",Geschäftsreisen[[#This Row],[Scope 3 Ergebnis Nicht-CO2 '[kg CO2e']]])</f>
        <v/>
      </c>
      <c r="N153" s="408"/>
      <c r="O153" s="15" t="str">
        <f>IF(ISBLANK(Geschäftsreisen[[#This Row],[Emissionsquelle/Aktivität (Dropdown)]]),"",CONCATENATE(Geschäftsreisen[[#This Row],[Sektor_Thema]]," - ",Geschäftsreisen[[#This Row],[Emissionsquelle/Aktivität (Dropdown)]]))</f>
        <v/>
      </c>
      <c r="P153" s="15" t="str">
        <f>IF(ISBLANK(Geschäftsreisen[[#This Row],[Emissionsquelle/Aktivität (Dropdown)]]),"",AND(ISNUMBER(SEARCH("PKW",Geschäftsreisen[[#This Row],[Emissionsquelle/Aktivität (Dropdown)]])),ISNUMBER(Geschäftsreisen[[#This Row],[PKW-Auslastung:
Personenzahl/ PKW
(optionale Angabe)]])))</f>
        <v/>
      </c>
      <c r="Q153" s="15" t="str">
        <f>IFERROR(VLOOKUP(Geschäftsreisen[[#This Row],[Thema_Bezeichung]],EFs_Geschäftsreisen[],5,FALSE),"")</f>
        <v/>
      </c>
      <c r="R153" s="15" t="str">
        <f>IFERROR(VLOOKUP(Geschäftsreisen[[#This Row],[Thema_Bezeichung]],EFs_Geschäftsreisen[],6,FALSE),"")</f>
        <v/>
      </c>
      <c r="S153" s="15" t="str">
        <f>IF(Geschäftsreisen[[#This Row],[PKW - Auslastung angegeben?]]=TRUE,IFERROR((VLOOKUP(Geschäftsreisen[[#This Row],[Thema_Bezeichung]],EFs_Geschäftsreisen[],7,FALSE)*VLOOKUP(Geschäftsreisen[[#This Row],[Thema_Bezeichung]],EFs_Geschäftsreisen[],9,FALSE)/Geschäftsreisen[[#This Row],[PKW-Auslastung:
Personenzahl/ PKW
(optionale Angabe)]]),""),IF(Geschäftsreisen[[#This Row],[PKW - Auslastung angegeben?]]=FALSE,IFERROR(VLOOKUP(Geschäftsreisen[[#This Row],[Thema_Bezeichung]],EFs_Geschäftsreisen[],7,FALSE),""),""))</f>
        <v/>
      </c>
      <c r="T153" s="15" t="str">
        <f>IFERROR(VLOOKUP(Geschäftsreisen[[#This Row],[Thema_Bezeichung]],EFs_Geschäftsreisen[],8,FALSE),"")</f>
        <v/>
      </c>
      <c r="U153" s="15" t="str">
        <f>IF(Geschäftsreisen[[#This Row],[PKW - Auslastung angegeben?]]=TRUE,IFERROR(Geschäftsreisen[[#This Row],[Wert 
(Zahl)]]*(Geschäftsreisen[[#This Row],[EF Scope 1 CO2e
(kg CO2e/Einheit)]]*Emissionsfaktoren!$E$324/Geschäftsreisen[[#This Row],[PKW-Auslastung:
Personenzahl/ PKW
(optionale Angabe)]]),""),IFERROR(Geschäftsreisen[[#This Row],[Wert 
(Zahl)]]*Geschäftsreisen[[#This Row],[EF Scope 1 CO2e
(kg CO2e/Einheit)]],""))</f>
        <v/>
      </c>
      <c r="V153" s="15" t="str">
        <f>IF(Geschäftsreisen[[#This Row],[PKW - Auslastung angegeben?]]=TRUE,IFERROR(Geschäftsreisen[[#This Row],[Wert 
(Zahl)]]*(Geschäftsreisen[[#This Row],[EF Scope 2 CO2e
(kg CO2e/Einheit)]]*Emissionsfaktoren!$E$324/Geschäftsreisen[[#This Row],[PKW-Auslastung:
Personenzahl/ PKW
(optionale Angabe)]]),""),IFERROR(Geschäftsreisen[[#This Row],[Wert 
(Zahl)]]*Geschäftsreisen[[#This Row],[EF Scope 2 CO2e
(kg CO2e/Einheit)]],""))</f>
        <v/>
      </c>
      <c r="W153" s="15" t="str">
        <f>IFERROR(Geschäftsreisen[[#This Row],[Wert 
(Zahl)]]*Geschäftsreisen[[#This Row],[EF Scope 3 CO2e
(kg CO2e/Einheit)]],"")</f>
        <v/>
      </c>
      <c r="X153" s="15" t="str">
        <f>IFERROR(Geschäftsreisen[[#This Row],[Wert 
(Zahl)]]*Geschäftsreisen[[#This Row],[Scope 3 EF Nicht-CO2-Effekte '[kg CO2e/Einheit']]],"")</f>
        <v/>
      </c>
      <c r="AQ153"/>
      <c r="AR153"/>
      <c r="AS153"/>
      <c r="AT153"/>
      <c r="AU153"/>
      <c r="AV153"/>
      <c r="AW153"/>
      <c r="AX153"/>
      <c r="AY153"/>
      <c r="AZ153"/>
      <c r="BA153"/>
      <c r="BB153"/>
      <c r="BC153"/>
      <c r="BD153"/>
      <c r="BE153"/>
      <c r="BF153"/>
      <c r="BG153"/>
      <c r="BH153"/>
      <c r="BI153"/>
      <c r="BJ153"/>
      <c r="BK153"/>
      <c r="BL153"/>
      <c r="BM153"/>
      <c r="BN153"/>
      <c r="BO153"/>
      <c r="BP153"/>
      <c r="BQ153"/>
      <c r="BR153"/>
    </row>
    <row r="154" spans="2:70" s="89" customFormat="1" x14ac:dyDescent="0.35">
      <c r="B154" s="604"/>
      <c r="C154" s="10" t="str">
        <f t="shared" si="4"/>
        <v>Geschäftsreisen</v>
      </c>
      <c r="D154" s="90"/>
      <c r="E154" s="90"/>
      <c r="F154" s="288"/>
      <c r="G154" s="10" t="str">
        <f>IFERROR(VLOOKUP(Geschäftsreisen[[#This Row],[Thema_Bezeichung]],EFs_Geschäftsreisen[],4,FALSE),"")</f>
        <v/>
      </c>
      <c r="H154" s="90"/>
      <c r="I154" s="90"/>
      <c r="J154" s="90"/>
      <c r="K154" s="90"/>
      <c r="L154" s="289" t="str">
        <f>IF(ISBLANK(Geschäftsreisen[[#This Row],[Wert 
(Zahl)]]),"", SUM(Geschäftsreisen[[#This Row],[Scope 1 CO2e '[kg CO2e']]:[Scope 3 CO2e '[kg CO2e']]]))</f>
        <v/>
      </c>
      <c r="M154" s="289" t="str">
        <f>IF(OR(ISBLANK(Geschäftsreisen[[#This Row],[Wert 
(Zahl)]]),Geschäftsreisen[[#This Row],[Scope 3 Ergebnis Nicht-CO2 '[kg CO2e']]]=0),"",Geschäftsreisen[[#This Row],[Scope 3 Ergebnis Nicht-CO2 '[kg CO2e']]])</f>
        <v/>
      </c>
      <c r="N154" s="408"/>
      <c r="O154" s="15" t="str">
        <f>IF(ISBLANK(Geschäftsreisen[[#This Row],[Emissionsquelle/Aktivität (Dropdown)]]),"",CONCATENATE(Geschäftsreisen[[#This Row],[Sektor_Thema]]," - ",Geschäftsreisen[[#This Row],[Emissionsquelle/Aktivität (Dropdown)]]))</f>
        <v/>
      </c>
      <c r="P154" s="15" t="str">
        <f>IF(ISBLANK(Geschäftsreisen[[#This Row],[Emissionsquelle/Aktivität (Dropdown)]]),"",AND(ISNUMBER(SEARCH("PKW",Geschäftsreisen[[#This Row],[Emissionsquelle/Aktivität (Dropdown)]])),ISNUMBER(Geschäftsreisen[[#This Row],[PKW-Auslastung:
Personenzahl/ PKW
(optionale Angabe)]])))</f>
        <v/>
      </c>
      <c r="Q154" s="15" t="str">
        <f>IFERROR(VLOOKUP(Geschäftsreisen[[#This Row],[Thema_Bezeichung]],EFs_Geschäftsreisen[],5,FALSE),"")</f>
        <v/>
      </c>
      <c r="R154" s="15" t="str">
        <f>IFERROR(VLOOKUP(Geschäftsreisen[[#This Row],[Thema_Bezeichung]],EFs_Geschäftsreisen[],6,FALSE),"")</f>
        <v/>
      </c>
      <c r="S154" s="15" t="str">
        <f>IF(Geschäftsreisen[[#This Row],[PKW - Auslastung angegeben?]]=TRUE,IFERROR((VLOOKUP(Geschäftsreisen[[#This Row],[Thema_Bezeichung]],EFs_Geschäftsreisen[],7,FALSE)*VLOOKUP(Geschäftsreisen[[#This Row],[Thema_Bezeichung]],EFs_Geschäftsreisen[],9,FALSE)/Geschäftsreisen[[#This Row],[PKW-Auslastung:
Personenzahl/ PKW
(optionale Angabe)]]),""),IF(Geschäftsreisen[[#This Row],[PKW - Auslastung angegeben?]]=FALSE,IFERROR(VLOOKUP(Geschäftsreisen[[#This Row],[Thema_Bezeichung]],EFs_Geschäftsreisen[],7,FALSE),""),""))</f>
        <v/>
      </c>
      <c r="T154" s="15" t="str">
        <f>IFERROR(VLOOKUP(Geschäftsreisen[[#This Row],[Thema_Bezeichung]],EFs_Geschäftsreisen[],8,FALSE),"")</f>
        <v/>
      </c>
      <c r="U154" s="15" t="str">
        <f>IF(Geschäftsreisen[[#This Row],[PKW - Auslastung angegeben?]]=TRUE,IFERROR(Geschäftsreisen[[#This Row],[Wert 
(Zahl)]]*(Geschäftsreisen[[#This Row],[EF Scope 1 CO2e
(kg CO2e/Einheit)]]*Emissionsfaktoren!$E$324/Geschäftsreisen[[#This Row],[PKW-Auslastung:
Personenzahl/ PKW
(optionale Angabe)]]),""),IFERROR(Geschäftsreisen[[#This Row],[Wert 
(Zahl)]]*Geschäftsreisen[[#This Row],[EF Scope 1 CO2e
(kg CO2e/Einheit)]],""))</f>
        <v/>
      </c>
      <c r="V154" s="15" t="str">
        <f>IF(Geschäftsreisen[[#This Row],[PKW - Auslastung angegeben?]]=TRUE,IFERROR(Geschäftsreisen[[#This Row],[Wert 
(Zahl)]]*(Geschäftsreisen[[#This Row],[EF Scope 2 CO2e
(kg CO2e/Einheit)]]*Emissionsfaktoren!$E$324/Geschäftsreisen[[#This Row],[PKW-Auslastung:
Personenzahl/ PKW
(optionale Angabe)]]),""),IFERROR(Geschäftsreisen[[#This Row],[Wert 
(Zahl)]]*Geschäftsreisen[[#This Row],[EF Scope 2 CO2e
(kg CO2e/Einheit)]],""))</f>
        <v/>
      </c>
      <c r="W154" s="15" t="str">
        <f>IFERROR(Geschäftsreisen[[#This Row],[Wert 
(Zahl)]]*Geschäftsreisen[[#This Row],[EF Scope 3 CO2e
(kg CO2e/Einheit)]],"")</f>
        <v/>
      </c>
      <c r="X154" s="15" t="str">
        <f>IFERROR(Geschäftsreisen[[#This Row],[Wert 
(Zahl)]]*Geschäftsreisen[[#This Row],[Scope 3 EF Nicht-CO2-Effekte '[kg CO2e/Einheit']]],"")</f>
        <v/>
      </c>
      <c r="AQ154"/>
      <c r="AR154"/>
      <c r="AS154"/>
      <c r="AT154"/>
      <c r="AU154"/>
      <c r="AV154"/>
      <c r="AW154"/>
      <c r="AX154"/>
      <c r="AY154"/>
      <c r="AZ154"/>
      <c r="BA154"/>
      <c r="BB154"/>
      <c r="BC154"/>
      <c r="BD154"/>
      <c r="BE154"/>
      <c r="BF154"/>
      <c r="BG154"/>
      <c r="BH154"/>
      <c r="BI154"/>
      <c r="BJ154"/>
      <c r="BK154"/>
      <c r="BL154"/>
      <c r="BM154"/>
      <c r="BN154"/>
      <c r="BO154"/>
      <c r="BP154"/>
      <c r="BQ154"/>
      <c r="BR154"/>
    </row>
    <row r="155" spans="2:70" s="89" customFormat="1" x14ac:dyDescent="0.35">
      <c r="B155" s="604"/>
      <c r="C155" s="90" t="str">
        <f t="shared" si="4"/>
        <v>Geschäftsreisen</v>
      </c>
      <c r="D155" s="90"/>
      <c r="E155" s="90"/>
      <c r="F155" s="288"/>
      <c r="G155" s="90" t="str">
        <f>IFERROR(VLOOKUP(Geschäftsreisen[[#This Row],[Thema_Bezeichung]],EFs_Geschäftsreisen[],4,FALSE),"")</f>
        <v/>
      </c>
      <c r="H155" s="90"/>
      <c r="I155" s="90"/>
      <c r="J155" s="90"/>
      <c r="K155" s="90"/>
      <c r="L155" s="290" t="str">
        <f>IF(ISBLANK(Geschäftsreisen[[#This Row],[Wert 
(Zahl)]]),"", SUM(Geschäftsreisen[[#This Row],[Scope 1 CO2e '[kg CO2e']]:[Scope 3 CO2e '[kg CO2e']]]))</f>
        <v/>
      </c>
      <c r="M155" s="290" t="str">
        <f>IF(OR(ISBLANK(Geschäftsreisen[[#This Row],[Wert 
(Zahl)]]),Geschäftsreisen[[#This Row],[Scope 3 Ergebnis Nicht-CO2 '[kg CO2e']]]=0),"",Geschäftsreisen[[#This Row],[Scope 3 Ergebnis Nicht-CO2 '[kg CO2e']]])</f>
        <v/>
      </c>
      <c r="N155" s="409"/>
      <c r="O155" s="94" t="str">
        <f>IF(ISBLANK(Geschäftsreisen[[#This Row],[Emissionsquelle/Aktivität (Dropdown)]]),"",CONCATENATE(Geschäftsreisen[[#This Row],[Sektor_Thema]]," - ",Geschäftsreisen[[#This Row],[Emissionsquelle/Aktivität (Dropdown)]]))</f>
        <v/>
      </c>
      <c r="P155" s="94" t="str">
        <f>IF(ISBLANK(Geschäftsreisen[[#This Row],[Emissionsquelle/Aktivität (Dropdown)]]),"",AND(ISNUMBER(SEARCH("PKW",Geschäftsreisen[[#This Row],[Emissionsquelle/Aktivität (Dropdown)]])),ISNUMBER(Geschäftsreisen[[#This Row],[PKW-Auslastung:
Personenzahl/ PKW
(optionale Angabe)]])))</f>
        <v/>
      </c>
      <c r="Q155" s="94" t="str">
        <f>IFERROR(VLOOKUP(Geschäftsreisen[[#This Row],[Thema_Bezeichung]],EFs_Geschäftsreisen[],5,FALSE),"")</f>
        <v/>
      </c>
      <c r="R155" s="94" t="str">
        <f>IFERROR(VLOOKUP(Geschäftsreisen[[#This Row],[Thema_Bezeichung]],EFs_Geschäftsreisen[],6,FALSE),"")</f>
        <v/>
      </c>
      <c r="S155" s="94" t="str">
        <f>IF(Geschäftsreisen[[#This Row],[PKW - Auslastung angegeben?]]=TRUE,IFERROR((VLOOKUP(Geschäftsreisen[[#This Row],[Thema_Bezeichung]],EFs_Geschäftsreisen[],7,FALSE)*VLOOKUP(Geschäftsreisen[[#This Row],[Thema_Bezeichung]],EFs_Geschäftsreisen[],9,FALSE)/Geschäftsreisen[[#This Row],[PKW-Auslastung:
Personenzahl/ PKW
(optionale Angabe)]]),""),IF(Geschäftsreisen[[#This Row],[PKW - Auslastung angegeben?]]=FALSE,IFERROR(VLOOKUP(Geschäftsreisen[[#This Row],[Thema_Bezeichung]],EFs_Geschäftsreisen[],7,FALSE),""),""))</f>
        <v/>
      </c>
      <c r="T155" s="94" t="str">
        <f>IFERROR(VLOOKUP(Geschäftsreisen[[#This Row],[Thema_Bezeichung]],EFs_Geschäftsreisen[],8,FALSE),"")</f>
        <v/>
      </c>
      <c r="U155" s="94" t="str">
        <f>IF(Geschäftsreisen[[#This Row],[PKW - Auslastung angegeben?]]=TRUE,IFERROR(Geschäftsreisen[[#This Row],[Wert 
(Zahl)]]*(Geschäftsreisen[[#This Row],[EF Scope 1 CO2e
(kg CO2e/Einheit)]]*Emissionsfaktoren!$E$324/Geschäftsreisen[[#This Row],[PKW-Auslastung:
Personenzahl/ PKW
(optionale Angabe)]]),""),IFERROR(Geschäftsreisen[[#This Row],[Wert 
(Zahl)]]*Geschäftsreisen[[#This Row],[EF Scope 1 CO2e
(kg CO2e/Einheit)]],""))</f>
        <v/>
      </c>
      <c r="V155" s="94" t="str">
        <f>IF(Geschäftsreisen[[#This Row],[PKW - Auslastung angegeben?]]=TRUE,IFERROR(Geschäftsreisen[[#This Row],[Wert 
(Zahl)]]*(Geschäftsreisen[[#This Row],[EF Scope 2 CO2e
(kg CO2e/Einheit)]]*Emissionsfaktoren!$E$324/Geschäftsreisen[[#This Row],[PKW-Auslastung:
Personenzahl/ PKW
(optionale Angabe)]]),""),IFERROR(Geschäftsreisen[[#This Row],[Wert 
(Zahl)]]*Geschäftsreisen[[#This Row],[EF Scope 2 CO2e
(kg CO2e/Einheit)]],""))</f>
        <v/>
      </c>
      <c r="W155" s="94" t="str">
        <f>IFERROR(Geschäftsreisen[[#This Row],[Wert 
(Zahl)]]*Geschäftsreisen[[#This Row],[EF Scope 3 CO2e
(kg CO2e/Einheit)]],"")</f>
        <v/>
      </c>
      <c r="X155" s="94" t="str">
        <f>IFERROR(Geschäftsreisen[[#This Row],[Wert 
(Zahl)]]*Geschäftsreisen[[#This Row],[Scope 3 EF Nicht-CO2-Effekte '[kg CO2e/Einheit']]],"")</f>
        <v/>
      </c>
      <c r="AQ155"/>
      <c r="AR155"/>
      <c r="AS155"/>
      <c r="AT155"/>
      <c r="AU155"/>
      <c r="AV155"/>
      <c r="AW155"/>
      <c r="AX155"/>
      <c r="AY155"/>
      <c r="AZ155"/>
      <c r="BA155"/>
      <c r="BB155"/>
      <c r="BC155"/>
      <c r="BD155"/>
      <c r="BE155"/>
      <c r="BF155"/>
      <c r="BG155"/>
      <c r="BH155"/>
      <c r="BI155"/>
      <c r="BJ155"/>
      <c r="BK155"/>
      <c r="BL155"/>
      <c r="BM155"/>
      <c r="BN155"/>
      <c r="BO155"/>
      <c r="BP155"/>
      <c r="BQ155"/>
      <c r="BR155"/>
    </row>
    <row r="156" spans="2:70" s="89" customFormat="1" ht="15" thickBot="1" x14ac:dyDescent="0.4">
      <c r="B156" s="605"/>
      <c r="C156" s="90" t="str">
        <f t="shared" si="4"/>
        <v>Geschäftsreisen</v>
      </c>
      <c r="D156" s="90"/>
      <c r="E156" s="90"/>
      <c r="F156" s="288"/>
      <c r="G156" s="90" t="str">
        <f>IFERROR(VLOOKUP(Geschäftsreisen[[#This Row],[Thema_Bezeichung]],EFs_Geschäftsreisen[],4,FALSE),"")</f>
        <v/>
      </c>
      <c r="H156" s="90"/>
      <c r="I156" s="90"/>
      <c r="J156" s="90"/>
      <c r="K156" s="90"/>
      <c r="L156" s="290" t="str">
        <f>IF(ISBLANK(Geschäftsreisen[[#This Row],[Wert 
(Zahl)]]),"", SUM(Geschäftsreisen[[#This Row],[Scope 1 CO2e '[kg CO2e']]:[Scope 3 CO2e '[kg CO2e']]]))</f>
        <v/>
      </c>
      <c r="M156" s="290" t="str">
        <f>IF(OR(ISBLANK(Geschäftsreisen[[#This Row],[Wert 
(Zahl)]]),Geschäftsreisen[[#This Row],[Scope 3 Ergebnis Nicht-CO2 '[kg CO2e']]]=0),"",Geschäftsreisen[[#This Row],[Scope 3 Ergebnis Nicht-CO2 '[kg CO2e']]])</f>
        <v/>
      </c>
      <c r="N156" s="409"/>
      <c r="O156" s="94" t="str">
        <f>IF(ISBLANK(Geschäftsreisen[[#This Row],[Emissionsquelle/Aktivität (Dropdown)]]),"",CONCATENATE(Geschäftsreisen[[#This Row],[Sektor_Thema]]," - ",Geschäftsreisen[[#This Row],[Emissionsquelle/Aktivität (Dropdown)]]))</f>
        <v/>
      </c>
      <c r="P156" s="94" t="str">
        <f>IF(ISBLANK(Geschäftsreisen[[#This Row],[Emissionsquelle/Aktivität (Dropdown)]]),"",AND(ISNUMBER(SEARCH("PKW",Geschäftsreisen[[#This Row],[Emissionsquelle/Aktivität (Dropdown)]])),ISNUMBER(Geschäftsreisen[[#This Row],[PKW-Auslastung:
Personenzahl/ PKW
(optionale Angabe)]])))</f>
        <v/>
      </c>
      <c r="Q156" s="94" t="str">
        <f>IFERROR(VLOOKUP(Geschäftsreisen[[#This Row],[Thema_Bezeichung]],EFs_Geschäftsreisen[],5,FALSE),"")</f>
        <v/>
      </c>
      <c r="R156" s="94" t="str">
        <f>IFERROR(VLOOKUP(Geschäftsreisen[[#This Row],[Thema_Bezeichung]],EFs_Geschäftsreisen[],6,FALSE),"")</f>
        <v/>
      </c>
      <c r="S156" s="94" t="str">
        <f>IF(Geschäftsreisen[[#This Row],[PKW - Auslastung angegeben?]]=TRUE,IFERROR((VLOOKUP(Geschäftsreisen[[#This Row],[Thema_Bezeichung]],EFs_Geschäftsreisen[],7,FALSE)*VLOOKUP(Geschäftsreisen[[#This Row],[Thema_Bezeichung]],EFs_Geschäftsreisen[],9,FALSE)/Geschäftsreisen[[#This Row],[PKW-Auslastung:
Personenzahl/ PKW
(optionale Angabe)]]),""),IF(Geschäftsreisen[[#This Row],[PKW - Auslastung angegeben?]]=FALSE,IFERROR(VLOOKUP(Geschäftsreisen[[#This Row],[Thema_Bezeichung]],EFs_Geschäftsreisen[],7,FALSE),""),""))</f>
        <v/>
      </c>
      <c r="T156" s="94" t="str">
        <f>IFERROR(VLOOKUP(Geschäftsreisen[[#This Row],[Thema_Bezeichung]],EFs_Geschäftsreisen[],8,FALSE),"")</f>
        <v/>
      </c>
      <c r="U156" s="94" t="str">
        <f>IF(Geschäftsreisen[[#This Row],[PKW - Auslastung angegeben?]]=TRUE,IFERROR(Geschäftsreisen[[#This Row],[Wert 
(Zahl)]]*(Geschäftsreisen[[#This Row],[EF Scope 1 CO2e
(kg CO2e/Einheit)]]*Emissionsfaktoren!$E$324/Geschäftsreisen[[#This Row],[PKW-Auslastung:
Personenzahl/ PKW
(optionale Angabe)]]),""),IFERROR(Geschäftsreisen[[#This Row],[Wert 
(Zahl)]]*Geschäftsreisen[[#This Row],[EF Scope 1 CO2e
(kg CO2e/Einheit)]],""))</f>
        <v/>
      </c>
      <c r="V156" s="94" t="str">
        <f>IF(Geschäftsreisen[[#This Row],[PKW - Auslastung angegeben?]]=TRUE,IFERROR(Geschäftsreisen[[#This Row],[Wert 
(Zahl)]]*(Geschäftsreisen[[#This Row],[EF Scope 2 CO2e
(kg CO2e/Einheit)]]*Emissionsfaktoren!$E$324/Geschäftsreisen[[#This Row],[PKW-Auslastung:
Personenzahl/ PKW
(optionale Angabe)]]),""),IFERROR(Geschäftsreisen[[#This Row],[Wert 
(Zahl)]]*Geschäftsreisen[[#This Row],[EF Scope 2 CO2e
(kg CO2e/Einheit)]],""))</f>
        <v/>
      </c>
      <c r="W156" s="94" t="str">
        <f>IFERROR(Geschäftsreisen[[#This Row],[Wert 
(Zahl)]]*Geschäftsreisen[[#This Row],[EF Scope 3 CO2e
(kg CO2e/Einheit)]],"")</f>
        <v/>
      </c>
      <c r="X156" s="94" t="str">
        <f>IFERROR(Geschäftsreisen[[#This Row],[Wert 
(Zahl)]]*Geschäftsreisen[[#This Row],[Scope 3 EF Nicht-CO2-Effekte '[kg CO2e/Einheit']]],"")</f>
        <v/>
      </c>
      <c r="AQ156"/>
      <c r="AR156"/>
      <c r="AS156"/>
      <c r="AT156"/>
      <c r="AU156"/>
      <c r="AV156"/>
      <c r="AW156"/>
      <c r="AX156"/>
      <c r="AY156"/>
      <c r="AZ156"/>
      <c r="BA156"/>
      <c r="BB156"/>
      <c r="BC156"/>
      <c r="BD156"/>
      <c r="BE156"/>
      <c r="BF156"/>
      <c r="BG156"/>
      <c r="BH156"/>
      <c r="BI156"/>
      <c r="BJ156"/>
      <c r="BK156"/>
      <c r="BL156"/>
      <c r="BM156"/>
      <c r="BN156"/>
      <c r="BO156"/>
      <c r="BP156"/>
      <c r="BQ156"/>
      <c r="BR156"/>
    </row>
    <row r="157" spans="2:70" s="2" customFormat="1" ht="15" thickTop="1" x14ac:dyDescent="0.35">
      <c r="B157" s="13"/>
      <c r="D157" s="333" t="s">
        <v>204</v>
      </c>
      <c r="E157" s="333"/>
      <c r="F157" s="333"/>
      <c r="G157" s="333"/>
      <c r="H157" s="333"/>
      <c r="I157" s="333"/>
      <c r="J157" s="333"/>
      <c r="K157" s="333"/>
      <c r="L157" s="291">
        <f>SUBTOTAL(109,Geschäftsreisen[Ergebnis '[kg CO2e'] (vorausgefüllt)])</f>
        <v>0</v>
      </c>
      <c r="M157" s="713">
        <f>SUBTOTAL(109,Geschäftsreisen[Nicht-CO2-Effekte '[kg CO2e'] (vorausgefüllt)])</f>
        <v>0</v>
      </c>
      <c r="N157" s="410"/>
      <c r="U157" s="2">
        <f>SUBTOTAL(109,Geschäftsreisen[Scope 1 CO2e '[kg CO2e']])</f>
        <v>0</v>
      </c>
      <c r="V157" s="2">
        <f>SUBTOTAL(109,Geschäftsreisen[Scope 2 CO2e '[kg CO2e']])</f>
        <v>0</v>
      </c>
      <c r="W157" s="2">
        <f>SUBTOTAL(109,Geschäftsreisen[Scope 3 CO2e '[kg CO2e']])</f>
        <v>0</v>
      </c>
      <c r="X157" s="2">
        <f>SUBTOTAL(109,Geschäftsreisen[Scope 3 Ergebnis Nicht-CO2 '[kg CO2e']])</f>
        <v>0</v>
      </c>
      <c r="AQ157"/>
      <c r="AR157"/>
      <c r="AS157"/>
      <c r="AT157"/>
      <c r="AU157"/>
      <c r="AV157"/>
      <c r="AW157"/>
      <c r="AX157"/>
      <c r="AY157"/>
      <c r="AZ157"/>
      <c r="BA157"/>
      <c r="BB157"/>
      <c r="BC157"/>
      <c r="BD157"/>
      <c r="BE157"/>
      <c r="BF157"/>
      <c r="BG157"/>
      <c r="BH157"/>
      <c r="BI157"/>
      <c r="BJ157"/>
      <c r="BK157"/>
      <c r="BL157"/>
      <c r="BM157"/>
      <c r="BN157"/>
      <c r="BO157"/>
      <c r="BP157"/>
      <c r="BQ157"/>
      <c r="BR157"/>
    </row>
    <row r="158" spans="2:70" ht="120" customHeight="1" x14ac:dyDescent="0.35">
      <c r="B158" s="183" t="s">
        <v>79</v>
      </c>
      <c r="C158" s="81"/>
      <c r="D158" s="81"/>
      <c r="E158" s="11"/>
      <c r="F158" s="11"/>
      <c r="G158" s="11"/>
      <c r="H158" s="11"/>
      <c r="I158" s="11"/>
    </row>
    <row r="159" spans="2:70" x14ac:dyDescent="0.35">
      <c r="B159" s="127" t="s">
        <v>80</v>
      </c>
      <c r="AP159" s="89"/>
      <c r="AQ159" s="89"/>
      <c r="AR159" s="89"/>
      <c r="AS159" s="89"/>
      <c r="AT159" s="89"/>
      <c r="AU159" s="89"/>
      <c r="AV159" s="89"/>
      <c r="AW159" s="89"/>
      <c r="AX159" s="89"/>
      <c r="AY159" s="89"/>
      <c r="AZ159" s="89"/>
      <c r="BA159" s="89"/>
      <c r="BB159" s="89"/>
      <c r="BC159" s="89"/>
      <c r="BD159" s="89"/>
      <c r="BE159" s="89"/>
      <c r="BF159" s="89"/>
      <c r="BG159" s="89"/>
      <c r="BH159" s="89"/>
      <c r="BI159" s="89"/>
      <c r="BJ159" s="89"/>
      <c r="BK159" s="89"/>
      <c r="BL159" s="89"/>
      <c r="BM159" s="89"/>
      <c r="BN159" s="89"/>
      <c r="BO159" s="89"/>
      <c r="BP159" s="89"/>
      <c r="BQ159" s="89"/>
    </row>
    <row r="160" spans="2:70" ht="18.5" x14ac:dyDescent="0.45">
      <c r="B160" s="126" t="s">
        <v>68</v>
      </c>
      <c r="AP160" s="89"/>
      <c r="AQ160" s="89"/>
      <c r="AR160" s="89"/>
      <c r="AS160" s="89"/>
      <c r="AT160" s="89"/>
      <c r="AU160" s="89"/>
      <c r="AV160" s="89"/>
      <c r="AW160" s="89"/>
      <c r="AX160" s="89"/>
      <c r="AY160" s="89"/>
      <c r="AZ160" s="89"/>
      <c r="BA160" s="89"/>
      <c r="BB160" s="89"/>
      <c r="BC160" s="89"/>
      <c r="BD160" s="89"/>
      <c r="BE160" s="89"/>
      <c r="BF160" s="89"/>
      <c r="BG160" s="89"/>
      <c r="BH160" s="89"/>
      <c r="BI160" s="89"/>
      <c r="BJ160" s="89"/>
      <c r="BK160" s="89"/>
      <c r="BL160" s="89"/>
      <c r="BM160" s="89"/>
      <c r="BN160" s="89"/>
      <c r="BO160" s="89"/>
      <c r="BP160" s="89"/>
      <c r="BQ160" s="89"/>
    </row>
    <row r="161" spans="2:72" ht="76" customHeight="1" x14ac:dyDescent="0.35">
      <c r="B161" s="273" t="s">
        <v>81</v>
      </c>
      <c r="C161" s="274"/>
      <c r="D161" s="601" t="s">
        <v>618</v>
      </c>
      <c r="E161" s="601"/>
      <c r="F161" s="601"/>
      <c r="G161" s="601"/>
      <c r="H161" s="601"/>
      <c r="I161" s="602"/>
      <c r="AP161" s="89"/>
      <c r="AQ161" s="89"/>
      <c r="AR161" s="89"/>
      <c r="AS161" s="89"/>
      <c r="AT161" s="89"/>
      <c r="AU161" s="89"/>
      <c r="AV161" s="89"/>
      <c r="AW161" s="89"/>
      <c r="AX161" s="89"/>
      <c r="AY161" s="89"/>
      <c r="AZ161" s="89"/>
      <c r="BA161" s="89"/>
      <c r="BB161" s="89"/>
      <c r="BC161" s="89"/>
      <c r="BD161" s="89"/>
      <c r="BE161" s="89"/>
      <c r="BF161" s="89"/>
      <c r="BG161" s="89"/>
      <c r="BH161" s="89"/>
      <c r="BI161" s="89"/>
      <c r="BJ161" s="89"/>
      <c r="BK161" s="89"/>
      <c r="BL161" s="89"/>
      <c r="BM161" s="89"/>
      <c r="BN161" s="89"/>
      <c r="BO161" s="89"/>
      <c r="BP161" s="89"/>
      <c r="BQ161" s="89"/>
    </row>
    <row r="162" spans="2:72" x14ac:dyDescent="0.35">
      <c r="C162" t="s">
        <v>70</v>
      </c>
      <c r="AP162" s="89"/>
      <c r="AQ162" s="89"/>
      <c r="AR162" s="89"/>
      <c r="AS162" s="89"/>
      <c r="AT162" s="89"/>
      <c r="AU162" s="89"/>
      <c r="AV162" s="89"/>
      <c r="AW162" s="89"/>
      <c r="AX162" s="89"/>
      <c r="AY162" s="89"/>
      <c r="AZ162" s="89"/>
      <c r="BA162" s="89"/>
      <c r="BB162" s="89"/>
      <c r="BC162" s="89"/>
      <c r="BD162" s="89"/>
      <c r="BE162" s="89"/>
      <c r="BF162" s="89"/>
      <c r="BG162" s="89"/>
      <c r="BH162" s="89"/>
      <c r="BI162" s="89"/>
      <c r="BJ162" s="89"/>
      <c r="BK162" s="89"/>
      <c r="BL162" s="89"/>
      <c r="BM162" s="89"/>
      <c r="BN162" s="89"/>
      <c r="BO162" s="89"/>
      <c r="BP162" s="89"/>
      <c r="BQ162" s="89"/>
    </row>
    <row r="163" spans="2:72" s="1" customFormat="1" ht="44" thickBot="1" x14ac:dyDescent="0.4">
      <c r="B163" s="10"/>
      <c r="C163" s="23" t="s">
        <v>46</v>
      </c>
      <c r="D163" s="151" t="s">
        <v>192</v>
      </c>
      <c r="E163" s="151" t="s">
        <v>65</v>
      </c>
      <c r="F163" s="151" t="s">
        <v>66</v>
      </c>
      <c r="G163" s="97" t="s">
        <v>78</v>
      </c>
      <c r="H163" s="151" t="s">
        <v>120</v>
      </c>
      <c r="I163" s="151" t="s">
        <v>531</v>
      </c>
      <c r="J163" s="97" t="s">
        <v>74</v>
      </c>
      <c r="K163" s="97" t="s">
        <v>75</v>
      </c>
      <c r="L163" s="156" t="s">
        <v>219</v>
      </c>
      <c r="M163" s="407" t="s">
        <v>484</v>
      </c>
      <c r="N163" s="407" t="s">
        <v>424</v>
      </c>
      <c r="O163" s="97" t="s">
        <v>217</v>
      </c>
      <c r="P163" s="97" t="s">
        <v>492</v>
      </c>
      <c r="Q163" s="432" t="s">
        <v>485</v>
      </c>
      <c r="R163" s="432" t="s">
        <v>486</v>
      </c>
      <c r="S163" s="432" t="s">
        <v>487</v>
      </c>
      <c r="T163" s="442" t="s">
        <v>432</v>
      </c>
      <c r="U163" s="134" t="s">
        <v>493</v>
      </c>
      <c r="V163" s="134" t="s">
        <v>527</v>
      </c>
      <c r="W163" s="134" t="s">
        <v>528</v>
      </c>
      <c r="X163" s="441" t="s">
        <v>434</v>
      </c>
      <c r="AS163" s="89"/>
      <c r="AT163" s="89"/>
      <c r="AU163" s="89"/>
      <c r="AV163" s="89"/>
      <c r="AW163" s="89"/>
      <c r="AX163" s="89"/>
      <c r="AY163" s="89"/>
      <c r="AZ163" s="89"/>
      <c r="BA163" s="89"/>
      <c r="BB163" s="89"/>
      <c r="BC163" s="89"/>
      <c r="BD163" s="89"/>
      <c r="BE163" s="89"/>
      <c r="BF163" s="89"/>
      <c r="BG163" s="89"/>
      <c r="BH163" s="89"/>
      <c r="BI163" s="89"/>
      <c r="BJ163" s="89"/>
      <c r="BK163" s="89"/>
      <c r="BL163" s="89"/>
      <c r="BM163" s="89"/>
      <c r="BN163" s="89"/>
      <c r="BO163" s="89"/>
      <c r="BP163" s="89"/>
      <c r="BQ163" s="89"/>
      <c r="BR163" s="89"/>
      <c r="BS163" s="89"/>
      <c r="BT163" s="89"/>
    </row>
    <row r="164" spans="2:72" s="89" customFormat="1" ht="15" thickTop="1" x14ac:dyDescent="0.35">
      <c r="B164" s="603" t="s">
        <v>68</v>
      </c>
      <c r="C164" s="10" t="str">
        <f t="shared" ref="C164:C183" si="5">$C$162</f>
        <v>Pendeln_Mitarbeitende</v>
      </c>
      <c r="D164" s="90"/>
      <c r="E164" s="90"/>
      <c r="F164" s="288"/>
      <c r="G164" s="10" t="str">
        <f>IFERROR(VLOOKUP(Pendeln_Mitarbeitende[[#This Row],[Thema_Bezeichung]],EFs_Pendeln[],4,FALSE),"")</f>
        <v/>
      </c>
      <c r="H164" s="90"/>
      <c r="I164" s="90"/>
      <c r="J164" s="90"/>
      <c r="K164" s="90"/>
      <c r="L164" s="289" t="str">
        <f>IF(ISBLANK(Pendeln_Mitarbeitende[[#This Row],[Wert 
(Zahl)]]),"", SUM(Pendeln_Mitarbeitende[[#This Row],[Scope 1 CO2e '[kg CO2e']]:[Scope 3 CO2e '[kg CO2e']]]))</f>
        <v/>
      </c>
      <c r="M164" s="408"/>
      <c r="N164" s="408"/>
      <c r="O164" s="15" t="str">
        <f>IF(ISBLANK(Pendeln_Mitarbeitende[[#This Row],[Emissionsquelle/Aktivität (Dropdown)]]),"",CONCATENATE(Pendeln_Mitarbeitende[[#This Row],[Sektor_Thema]]," - ",Pendeln_Mitarbeitende[[#This Row],[Emissionsquelle/Aktivität (Dropdown)]]))</f>
        <v/>
      </c>
      <c r="P164" s="15" t="str">
        <f>IF(ISBLANK(Pendeln_Mitarbeitende[[#This Row],[Emissionsquelle/Aktivität (Dropdown)]]),"",AND(ISNUMBER(SEARCH("PKW",Pendeln_Mitarbeitende[[#This Row],[Emissionsquelle/Aktivität (Dropdown)]])),ISNUMBER(Pendeln_Mitarbeitende[[#This Row],[PKW-Auslastung:
Personenzahl/ PKW
(optionale Angabe)]])))</f>
        <v/>
      </c>
      <c r="Q164" s="15" t="str">
        <f>IFERROR(VLOOKUP(Pendeln_Mitarbeitende[[#This Row],[Thema_Bezeichung]],EFs_Pendeln[],5,FALSE),"")</f>
        <v/>
      </c>
      <c r="R164" s="15" t="str">
        <f>IFERROR(VLOOKUP(Pendeln_Mitarbeitende[[#This Row],[Thema_Bezeichung]],EFs_Pendeln[],6,FALSE),"")</f>
        <v/>
      </c>
      <c r="S164" s="15" t="str">
        <f>IF(Pendeln_Mitarbeitende[[#This Row],[PKW - Auslastung angegeben?]]=TRUE,IFERROR((VLOOKUP(Pendeln_Mitarbeitende[[#This Row],[Thema_Bezeichung]],EFs_Pendeln[],7,FALSE)*VLOOKUP(Pendeln_Mitarbeitende[[#This Row],[Thema_Bezeichung]],EFs_Pendeln[],9,FALSE)/Pendeln_Mitarbeitende[[#This Row],[PKW-Auslastung:
Personenzahl/ PKW
(optionale Angabe)]]),""),IF(Pendeln_Mitarbeitende[[#This Row],[PKW - Auslastung angegeben?]]=FALSE,IFERROR(VLOOKUP(Pendeln_Mitarbeitende[[#This Row],[Thema_Bezeichung]],EFs_Pendeln[],7,FALSE),""),""))</f>
        <v/>
      </c>
      <c r="T164" s="15" t="str">
        <f>IFERROR(VLOOKUP(Pendeln_Mitarbeitende[[#This Row],[Thema_Bezeichung]],EFs_Pendeln[],8,FALSE),"")</f>
        <v/>
      </c>
      <c r="U164" s="15" t="str">
        <f>IFERROR(Pendeln_Mitarbeitende[[#This Row],[Wert 
(Zahl)]]*Pendeln_Mitarbeitende[[#This Row],[EF Scope 1 CO2e
(kg CO2e/Einheit)]],"")</f>
        <v/>
      </c>
      <c r="V164" s="15" t="str">
        <f>IFERROR(Pendeln_Mitarbeitende[[#This Row],[Wert 
(Zahl)]]*Pendeln_Mitarbeitende[[#This Row],[EF Scope 2 CO2e
(kg CO2e/Einheit)]],"")</f>
        <v/>
      </c>
      <c r="W164" s="15" t="str">
        <f>IFERROR(Pendeln_Mitarbeitende[[#This Row],[Wert 
(Zahl)]]*Pendeln_Mitarbeitende[[#This Row],[EF Scope 3 CO2e
(kg CO2e/Einheit)]],"")</f>
        <v/>
      </c>
      <c r="X164" s="15" t="str">
        <f>IFERROR(Pendeln_Mitarbeitende[[#This Row],[Wert 
(Zahl)]]*Pendeln_Mitarbeitende[[#This Row],[Scope 3 EF Nicht-CO2-Effekte '[kg CO2e/Einheit']]],"")</f>
        <v/>
      </c>
    </row>
    <row r="165" spans="2:72" s="89" customFormat="1" x14ac:dyDescent="0.35">
      <c r="B165" s="604"/>
      <c r="C165" s="10" t="str">
        <f t="shared" si="5"/>
        <v>Pendeln_Mitarbeitende</v>
      </c>
      <c r="D165" s="90"/>
      <c r="E165" s="90"/>
      <c r="F165" s="288"/>
      <c r="G165" s="10" t="str">
        <f>IFERROR(VLOOKUP(Pendeln_Mitarbeitende[[#This Row],[Thema_Bezeichung]],EFs_Pendeln[],4,FALSE),"")</f>
        <v/>
      </c>
      <c r="H165" s="90"/>
      <c r="I165" s="90"/>
      <c r="J165" s="90"/>
      <c r="K165" s="90"/>
      <c r="L165" s="289" t="str">
        <f>IF(ISBLANK(Pendeln_Mitarbeitende[[#This Row],[Wert 
(Zahl)]]),"", SUM(Pendeln_Mitarbeitende[[#This Row],[Scope 1 CO2e '[kg CO2e']]:[Scope 3 CO2e '[kg CO2e']]]))</f>
        <v/>
      </c>
      <c r="M165" s="408"/>
      <c r="N165" s="408"/>
      <c r="O165" s="15" t="str">
        <f>IF(ISBLANK(Pendeln_Mitarbeitende[[#This Row],[Emissionsquelle/Aktivität (Dropdown)]]),"",CONCATENATE(Pendeln_Mitarbeitende[[#This Row],[Sektor_Thema]]," - ",Pendeln_Mitarbeitende[[#This Row],[Emissionsquelle/Aktivität (Dropdown)]]))</f>
        <v/>
      </c>
      <c r="P165" s="15" t="str">
        <f>IF(ISBLANK(Pendeln_Mitarbeitende[[#This Row],[Emissionsquelle/Aktivität (Dropdown)]]),"",AND(ISNUMBER(SEARCH("PKW",Pendeln_Mitarbeitende[[#This Row],[Emissionsquelle/Aktivität (Dropdown)]])),ISNUMBER(Pendeln_Mitarbeitende[[#This Row],[PKW-Auslastung:
Personenzahl/ PKW
(optionale Angabe)]])))</f>
        <v/>
      </c>
      <c r="Q165" s="15" t="str">
        <f>IFERROR(VLOOKUP(Pendeln_Mitarbeitende[[#This Row],[Thema_Bezeichung]],EFs_Pendeln[],5,FALSE),"")</f>
        <v/>
      </c>
      <c r="R165" s="15" t="str">
        <f>IFERROR(VLOOKUP(Pendeln_Mitarbeitende[[#This Row],[Thema_Bezeichung]],EFs_Pendeln[],6,FALSE),"")</f>
        <v/>
      </c>
      <c r="S165" s="15" t="str">
        <f>IF(Pendeln_Mitarbeitende[[#This Row],[PKW - Auslastung angegeben?]]=TRUE,IFERROR((VLOOKUP(Pendeln_Mitarbeitende[[#This Row],[Thema_Bezeichung]],EFs_Pendeln[],7,FALSE)*VLOOKUP(Pendeln_Mitarbeitende[[#This Row],[Thema_Bezeichung]],EFs_Pendeln[],9,FALSE)/Pendeln_Mitarbeitende[[#This Row],[PKW-Auslastung:
Personenzahl/ PKW
(optionale Angabe)]]),""),IF(Pendeln_Mitarbeitende[[#This Row],[PKW - Auslastung angegeben?]]=FALSE,IFERROR(VLOOKUP(Pendeln_Mitarbeitende[[#This Row],[Thema_Bezeichung]],EFs_Pendeln[],7,FALSE),""),""))</f>
        <v/>
      </c>
      <c r="T165" s="15" t="str">
        <f>IFERROR(VLOOKUP(Pendeln_Mitarbeitende[[#This Row],[Thema_Bezeichung]],EFs_Pendeln[],8,FALSE),"")</f>
        <v/>
      </c>
      <c r="U165" s="15" t="str">
        <f>IFERROR(Pendeln_Mitarbeitende[[#This Row],[Wert 
(Zahl)]]*Pendeln_Mitarbeitende[[#This Row],[EF Scope 1 CO2e
(kg CO2e/Einheit)]],"")</f>
        <v/>
      </c>
      <c r="V165" s="15" t="str">
        <f>IFERROR(Pendeln_Mitarbeitende[[#This Row],[Wert 
(Zahl)]]*Pendeln_Mitarbeitende[[#This Row],[EF Scope 2 CO2e
(kg CO2e/Einheit)]],"")</f>
        <v/>
      </c>
      <c r="W165" s="15" t="str">
        <f>IFERROR(Pendeln_Mitarbeitende[[#This Row],[Wert 
(Zahl)]]*Pendeln_Mitarbeitende[[#This Row],[EF Scope 3 CO2e
(kg CO2e/Einheit)]],"")</f>
        <v/>
      </c>
      <c r="X165" s="15" t="str">
        <f>IFERROR(Pendeln_Mitarbeitende[[#This Row],[Wert 
(Zahl)]]*Pendeln_Mitarbeitende[[#This Row],[Scope 3 EF Nicht-CO2-Effekte '[kg CO2e/Einheit']]],"")</f>
        <v/>
      </c>
    </row>
    <row r="166" spans="2:72" s="89" customFormat="1" x14ac:dyDescent="0.35">
      <c r="B166" s="604"/>
      <c r="C166" s="10" t="str">
        <f t="shared" si="5"/>
        <v>Pendeln_Mitarbeitende</v>
      </c>
      <c r="D166" s="90"/>
      <c r="E166" s="90"/>
      <c r="F166" s="288"/>
      <c r="G166" s="10" t="str">
        <f>IFERROR(VLOOKUP(Pendeln_Mitarbeitende[[#This Row],[Thema_Bezeichung]],EFs_Pendeln[],4,FALSE),"")</f>
        <v/>
      </c>
      <c r="H166" s="90"/>
      <c r="I166" s="90"/>
      <c r="J166" s="90"/>
      <c r="K166" s="90"/>
      <c r="L166" s="289" t="str">
        <f>IF(ISBLANK(Pendeln_Mitarbeitende[[#This Row],[Wert 
(Zahl)]]),"", SUM(Pendeln_Mitarbeitende[[#This Row],[Scope 1 CO2e '[kg CO2e']]:[Scope 3 CO2e '[kg CO2e']]]))</f>
        <v/>
      </c>
      <c r="M166" s="408"/>
      <c r="N166" s="408"/>
      <c r="O166" s="15" t="str">
        <f>IF(ISBLANK(Pendeln_Mitarbeitende[[#This Row],[Emissionsquelle/Aktivität (Dropdown)]]),"",CONCATENATE(Pendeln_Mitarbeitende[[#This Row],[Sektor_Thema]]," - ",Pendeln_Mitarbeitende[[#This Row],[Emissionsquelle/Aktivität (Dropdown)]]))</f>
        <v/>
      </c>
      <c r="P166" s="15" t="str">
        <f>IF(ISBLANK(Pendeln_Mitarbeitende[[#This Row],[Emissionsquelle/Aktivität (Dropdown)]]),"",AND(ISNUMBER(SEARCH("PKW",Pendeln_Mitarbeitende[[#This Row],[Emissionsquelle/Aktivität (Dropdown)]])),ISNUMBER(Pendeln_Mitarbeitende[[#This Row],[PKW-Auslastung:
Personenzahl/ PKW
(optionale Angabe)]])))</f>
        <v/>
      </c>
      <c r="Q166" s="15" t="str">
        <f>IFERROR(VLOOKUP(Pendeln_Mitarbeitende[[#This Row],[Thema_Bezeichung]],EFs_Pendeln[],5,FALSE),"")</f>
        <v/>
      </c>
      <c r="R166" s="15" t="str">
        <f>IFERROR(VLOOKUP(Pendeln_Mitarbeitende[[#This Row],[Thema_Bezeichung]],EFs_Pendeln[],6,FALSE),"")</f>
        <v/>
      </c>
      <c r="S166" s="15" t="str">
        <f>IF(Pendeln_Mitarbeitende[[#This Row],[PKW - Auslastung angegeben?]]=TRUE,IFERROR((VLOOKUP(Pendeln_Mitarbeitende[[#This Row],[Thema_Bezeichung]],EFs_Pendeln[],7,FALSE)*VLOOKUP(Pendeln_Mitarbeitende[[#This Row],[Thema_Bezeichung]],EFs_Pendeln[],9,FALSE)/Pendeln_Mitarbeitende[[#This Row],[PKW-Auslastung:
Personenzahl/ PKW
(optionale Angabe)]]),""),IF(Pendeln_Mitarbeitende[[#This Row],[PKW - Auslastung angegeben?]]=FALSE,IFERROR(VLOOKUP(Pendeln_Mitarbeitende[[#This Row],[Thema_Bezeichung]],EFs_Pendeln[],7,FALSE),""),""))</f>
        <v/>
      </c>
      <c r="T166" s="15" t="str">
        <f>IFERROR(VLOOKUP(Pendeln_Mitarbeitende[[#This Row],[Thema_Bezeichung]],EFs_Pendeln[],8,FALSE),"")</f>
        <v/>
      </c>
      <c r="U166" s="15" t="str">
        <f>IFERROR(Pendeln_Mitarbeitende[[#This Row],[Wert 
(Zahl)]]*Pendeln_Mitarbeitende[[#This Row],[EF Scope 1 CO2e
(kg CO2e/Einheit)]],"")</f>
        <v/>
      </c>
      <c r="V166" s="15" t="str">
        <f>IFERROR(Pendeln_Mitarbeitende[[#This Row],[Wert 
(Zahl)]]*Pendeln_Mitarbeitende[[#This Row],[EF Scope 2 CO2e
(kg CO2e/Einheit)]],"")</f>
        <v/>
      </c>
      <c r="W166" s="15" t="str">
        <f>IFERROR(Pendeln_Mitarbeitende[[#This Row],[Wert 
(Zahl)]]*Pendeln_Mitarbeitende[[#This Row],[EF Scope 3 CO2e
(kg CO2e/Einheit)]],"")</f>
        <v/>
      </c>
      <c r="X166" s="15" t="str">
        <f>IFERROR(Pendeln_Mitarbeitende[[#This Row],[Wert 
(Zahl)]]*Pendeln_Mitarbeitende[[#This Row],[Scope 3 EF Nicht-CO2-Effekte '[kg CO2e/Einheit']]],"")</f>
        <v/>
      </c>
    </row>
    <row r="167" spans="2:72" s="89" customFormat="1" x14ac:dyDescent="0.35">
      <c r="B167" s="604"/>
      <c r="C167" s="10" t="str">
        <f t="shared" si="5"/>
        <v>Pendeln_Mitarbeitende</v>
      </c>
      <c r="D167" s="90"/>
      <c r="E167" s="90"/>
      <c r="F167" s="288"/>
      <c r="G167" s="10" t="str">
        <f>IFERROR(VLOOKUP(Pendeln_Mitarbeitende[[#This Row],[Thema_Bezeichung]],EFs_Pendeln[],4,FALSE),"")</f>
        <v/>
      </c>
      <c r="H167" s="90"/>
      <c r="I167" s="90"/>
      <c r="J167" s="90"/>
      <c r="K167" s="90"/>
      <c r="L167" s="289" t="str">
        <f>IF(ISBLANK(Pendeln_Mitarbeitende[[#This Row],[Wert 
(Zahl)]]),"", SUM(Pendeln_Mitarbeitende[[#This Row],[Scope 1 CO2e '[kg CO2e']]:[Scope 3 CO2e '[kg CO2e']]]))</f>
        <v/>
      </c>
      <c r="M167" s="408"/>
      <c r="N167" s="408"/>
      <c r="O167" s="15" t="str">
        <f>IF(ISBLANK(Pendeln_Mitarbeitende[[#This Row],[Emissionsquelle/Aktivität (Dropdown)]]),"",CONCATENATE(Pendeln_Mitarbeitende[[#This Row],[Sektor_Thema]]," - ",Pendeln_Mitarbeitende[[#This Row],[Emissionsquelle/Aktivität (Dropdown)]]))</f>
        <v/>
      </c>
      <c r="P167" s="15" t="str">
        <f>IF(ISBLANK(Pendeln_Mitarbeitende[[#This Row],[Emissionsquelle/Aktivität (Dropdown)]]),"",AND(ISNUMBER(SEARCH("PKW",Pendeln_Mitarbeitende[[#This Row],[Emissionsquelle/Aktivität (Dropdown)]])),ISNUMBER(Pendeln_Mitarbeitende[[#This Row],[PKW-Auslastung:
Personenzahl/ PKW
(optionale Angabe)]])))</f>
        <v/>
      </c>
      <c r="Q167" s="15" t="str">
        <f>IFERROR(VLOOKUP(Pendeln_Mitarbeitende[[#This Row],[Thema_Bezeichung]],EFs_Pendeln[],5,FALSE),"")</f>
        <v/>
      </c>
      <c r="R167" s="15" t="str">
        <f>IFERROR(VLOOKUP(Pendeln_Mitarbeitende[[#This Row],[Thema_Bezeichung]],EFs_Pendeln[],6,FALSE),"")</f>
        <v/>
      </c>
      <c r="S167" s="15" t="str">
        <f>IF(Pendeln_Mitarbeitende[[#This Row],[PKW - Auslastung angegeben?]]=TRUE,IFERROR((VLOOKUP(Pendeln_Mitarbeitende[[#This Row],[Thema_Bezeichung]],EFs_Pendeln[],7,FALSE)*VLOOKUP(Pendeln_Mitarbeitende[[#This Row],[Thema_Bezeichung]],EFs_Pendeln[],9,FALSE)/Pendeln_Mitarbeitende[[#This Row],[PKW-Auslastung:
Personenzahl/ PKW
(optionale Angabe)]]),""),IF(Pendeln_Mitarbeitende[[#This Row],[PKW - Auslastung angegeben?]]=FALSE,IFERROR(VLOOKUP(Pendeln_Mitarbeitende[[#This Row],[Thema_Bezeichung]],EFs_Pendeln[],7,FALSE),""),""))</f>
        <v/>
      </c>
      <c r="T167" s="15" t="str">
        <f>IFERROR(VLOOKUP(Pendeln_Mitarbeitende[[#This Row],[Thema_Bezeichung]],EFs_Pendeln[],8,FALSE),"")</f>
        <v/>
      </c>
      <c r="U167" s="15" t="str">
        <f>IFERROR(Pendeln_Mitarbeitende[[#This Row],[Wert 
(Zahl)]]*Pendeln_Mitarbeitende[[#This Row],[EF Scope 1 CO2e
(kg CO2e/Einheit)]],"")</f>
        <v/>
      </c>
      <c r="V167" s="15" t="str">
        <f>IFERROR(Pendeln_Mitarbeitende[[#This Row],[Wert 
(Zahl)]]*Pendeln_Mitarbeitende[[#This Row],[EF Scope 2 CO2e
(kg CO2e/Einheit)]],"")</f>
        <v/>
      </c>
      <c r="W167" s="15" t="str">
        <f>IFERROR(Pendeln_Mitarbeitende[[#This Row],[Wert 
(Zahl)]]*Pendeln_Mitarbeitende[[#This Row],[EF Scope 3 CO2e
(kg CO2e/Einheit)]],"")</f>
        <v/>
      </c>
      <c r="X167" s="15" t="str">
        <f>IFERROR(Pendeln_Mitarbeitende[[#This Row],[Wert 
(Zahl)]]*Pendeln_Mitarbeitende[[#This Row],[Scope 3 EF Nicht-CO2-Effekte '[kg CO2e/Einheit']]],"")</f>
        <v/>
      </c>
    </row>
    <row r="168" spans="2:72" s="89" customFormat="1" x14ac:dyDescent="0.35">
      <c r="B168" s="604"/>
      <c r="C168" s="10" t="str">
        <f t="shared" si="5"/>
        <v>Pendeln_Mitarbeitende</v>
      </c>
      <c r="D168" s="90"/>
      <c r="E168" s="90"/>
      <c r="F168" s="288"/>
      <c r="G168" s="10" t="str">
        <f>IFERROR(VLOOKUP(Pendeln_Mitarbeitende[[#This Row],[Thema_Bezeichung]],EFs_Pendeln[],4,FALSE),"")</f>
        <v/>
      </c>
      <c r="H168" s="90"/>
      <c r="I168" s="90"/>
      <c r="J168" s="90"/>
      <c r="K168" s="90"/>
      <c r="L168" s="289" t="str">
        <f>IF(ISBLANK(Pendeln_Mitarbeitende[[#This Row],[Wert 
(Zahl)]]),"", SUM(Pendeln_Mitarbeitende[[#This Row],[Scope 1 CO2e '[kg CO2e']]:[Scope 3 CO2e '[kg CO2e']]]))</f>
        <v/>
      </c>
      <c r="M168" s="408"/>
      <c r="N168" s="408"/>
      <c r="O168" s="15" t="str">
        <f>IF(ISBLANK(Pendeln_Mitarbeitende[[#This Row],[Emissionsquelle/Aktivität (Dropdown)]]),"",CONCATENATE(Pendeln_Mitarbeitende[[#This Row],[Sektor_Thema]]," - ",Pendeln_Mitarbeitende[[#This Row],[Emissionsquelle/Aktivität (Dropdown)]]))</f>
        <v/>
      </c>
      <c r="P168" s="15" t="str">
        <f>IF(ISBLANK(Pendeln_Mitarbeitende[[#This Row],[Emissionsquelle/Aktivität (Dropdown)]]),"",AND(ISNUMBER(SEARCH("PKW",Pendeln_Mitarbeitende[[#This Row],[Emissionsquelle/Aktivität (Dropdown)]])),ISNUMBER(Pendeln_Mitarbeitende[[#This Row],[PKW-Auslastung:
Personenzahl/ PKW
(optionale Angabe)]])))</f>
        <v/>
      </c>
      <c r="Q168" s="15" t="str">
        <f>IFERROR(VLOOKUP(Pendeln_Mitarbeitende[[#This Row],[Thema_Bezeichung]],EFs_Pendeln[],5,FALSE),"")</f>
        <v/>
      </c>
      <c r="R168" s="15" t="str">
        <f>IFERROR(VLOOKUP(Pendeln_Mitarbeitende[[#This Row],[Thema_Bezeichung]],EFs_Pendeln[],6,FALSE),"")</f>
        <v/>
      </c>
      <c r="S168" s="15" t="str">
        <f>IF(Pendeln_Mitarbeitende[[#This Row],[PKW - Auslastung angegeben?]]=TRUE,IFERROR((VLOOKUP(Pendeln_Mitarbeitende[[#This Row],[Thema_Bezeichung]],EFs_Pendeln[],7,FALSE)*VLOOKUP(Pendeln_Mitarbeitende[[#This Row],[Thema_Bezeichung]],EFs_Pendeln[],9,FALSE)/Pendeln_Mitarbeitende[[#This Row],[PKW-Auslastung:
Personenzahl/ PKW
(optionale Angabe)]]),""),IF(Pendeln_Mitarbeitende[[#This Row],[PKW - Auslastung angegeben?]]=FALSE,IFERROR(VLOOKUP(Pendeln_Mitarbeitende[[#This Row],[Thema_Bezeichung]],EFs_Pendeln[],7,FALSE),""),""))</f>
        <v/>
      </c>
      <c r="T168" s="15" t="str">
        <f>IFERROR(VLOOKUP(Pendeln_Mitarbeitende[[#This Row],[Thema_Bezeichung]],EFs_Pendeln[],8,FALSE),"")</f>
        <v/>
      </c>
      <c r="U168" s="15" t="str">
        <f>IFERROR(Pendeln_Mitarbeitende[[#This Row],[Wert 
(Zahl)]]*Pendeln_Mitarbeitende[[#This Row],[EF Scope 1 CO2e
(kg CO2e/Einheit)]],"")</f>
        <v/>
      </c>
      <c r="V168" s="15" t="str">
        <f>IFERROR(Pendeln_Mitarbeitende[[#This Row],[Wert 
(Zahl)]]*Pendeln_Mitarbeitende[[#This Row],[EF Scope 2 CO2e
(kg CO2e/Einheit)]],"")</f>
        <v/>
      </c>
      <c r="W168" s="15" t="str">
        <f>IFERROR(Pendeln_Mitarbeitende[[#This Row],[Wert 
(Zahl)]]*Pendeln_Mitarbeitende[[#This Row],[EF Scope 3 CO2e
(kg CO2e/Einheit)]],"")</f>
        <v/>
      </c>
      <c r="X168" s="15" t="str">
        <f>IFERROR(Pendeln_Mitarbeitende[[#This Row],[Wert 
(Zahl)]]*Pendeln_Mitarbeitende[[#This Row],[Scope 3 EF Nicht-CO2-Effekte '[kg CO2e/Einheit']]],"")</f>
        <v/>
      </c>
    </row>
    <row r="169" spans="2:72" s="89" customFormat="1" x14ac:dyDescent="0.35">
      <c r="B169" s="604"/>
      <c r="C169" s="10" t="str">
        <f t="shared" si="5"/>
        <v>Pendeln_Mitarbeitende</v>
      </c>
      <c r="D169" s="90"/>
      <c r="E169" s="90"/>
      <c r="F169" s="288"/>
      <c r="G169" s="10" t="str">
        <f>IFERROR(VLOOKUP(Pendeln_Mitarbeitende[[#This Row],[Thema_Bezeichung]],EFs_Pendeln[],4,FALSE),"")</f>
        <v/>
      </c>
      <c r="H169" s="90"/>
      <c r="I169" s="90"/>
      <c r="J169" s="90"/>
      <c r="K169" s="90"/>
      <c r="L169" s="289" t="str">
        <f>IF(ISBLANK(Pendeln_Mitarbeitende[[#This Row],[Wert 
(Zahl)]]),"", SUM(Pendeln_Mitarbeitende[[#This Row],[Scope 1 CO2e '[kg CO2e']]:[Scope 3 CO2e '[kg CO2e']]]))</f>
        <v/>
      </c>
      <c r="M169" s="408"/>
      <c r="N169" s="408"/>
      <c r="O169" s="15" t="str">
        <f>IF(ISBLANK(Pendeln_Mitarbeitende[[#This Row],[Emissionsquelle/Aktivität (Dropdown)]]),"",CONCATENATE(Pendeln_Mitarbeitende[[#This Row],[Sektor_Thema]]," - ",Pendeln_Mitarbeitende[[#This Row],[Emissionsquelle/Aktivität (Dropdown)]]))</f>
        <v/>
      </c>
      <c r="P169" s="15" t="str">
        <f>IF(ISBLANK(Pendeln_Mitarbeitende[[#This Row],[Emissionsquelle/Aktivität (Dropdown)]]),"",AND(ISNUMBER(SEARCH("PKW",Pendeln_Mitarbeitende[[#This Row],[Emissionsquelle/Aktivität (Dropdown)]])),ISNUMBER(Pendeln_Mitarbeitende[[#This Row],[PKW-Auslastung:
Personenzahl/ PKW
(optionale Angabe)]])))</f>
        <v/>
      </c>
      <c r="Q169" s="15" t="str">
        <f>IFERROR(VLOOKUP(Pendeln_Mitarbeitende[[#This Row],[Thema_Bezeichung]],EFs_Pendeln[],5,FALSE),"")</f>
        <v/>
      </c>
      <c r="R169" s="15" t="str">
        <f>IFERROR(VLOOKUP(Pendeln_Mitarbeitende[[#This Row],[Thema_Bezeichung]],EFs_Pendeln[],6,FALSE),"")</f>
        <v/>
      </c>
      <c r="S169" s="15" t="str">
        <f>IF(Pendeln_Mitarbeitende[[#This Row],[PKW - Auslastung angegeben?]]=TRUE,IFERROR((VLOOKUP(Pendeln_Mitarbeitende[[#This Row],[Thema_Bezeichung]],EFs_Pendeln[],7,FALSE)*VLOOKUP(Pendeln_Mitarbeitende[[#This Row],[Thema_Bezeichung]],EFs_Pendeln[],9,FALSE)/Pendeln_Mitarbeitende[[#This Row],[PKW-Auslastung:
Personenzahl/ PKW
(optionale Angabe)]]),""),IF(Pendeln_Mitarbeitende[[#This Row],[PKW - Auslastung angegeben?]]=FALSE,IFERROR(VLOOKUP(Pendeln_Mitarbeitende[[#This Row],[Thema_Bezeichung]],EFs_Pendeln[],7,FALSE),""),""))</f>
        <v/>
      </c>
      <c r="T169" s="15" t="str">
        <f>IFERROR(VLOOKUP(Pendeln_Mitarbeitende[[#This Row],[Thema_Bezeichung]],EFs_Pendeln[],8,FALSE),"")</f>
        <v/>
      </c>
      <c r="U169" s="15" t="str">
        <f>IFERROR(Pendeln_Mitarbeitende[[#This Row],[Wert 
(Zahl)]]*Pendeln_Mitarbeitende[[#This Row],[EF Scope 1 CO2e
(kg CO2e/Einheit)]],"")</f>
        <v/>
      </c>
      <c r="V169" s="15" t="str">
        <f>IFERROR(Pendeln_Mitarbeitende[[#This Row],[Wert 
(Zahl)]]*Pendeln_Mitarbeitende[[#This Row],[EF Scope 2 CO2e
(kg CO2e/Einheit)]],"")</f>
        <v/>
      </c>
      <c r="W169" s="15" t="str">
        <f>IFERROR(Pendeln_Mitarbeitende[[#This Row],[Wert 
(Zahl)]]*Pendeln_Mitarbeitende[[#This Row],[EF Scope 3 CO2e
(kg CO2e/Einheit)]],"")</f>
        <v/>
      </c>
      <c r="X169" s="15" t="str">
        <f>IFERROR(Pendeln_Mitarbeitende[[#This Row],[Wert 
(Zahl)]]*Pendeln_Mitarbeitende[[#This Row],[Scope 3 EF Nicht-CO2-Effekte '[kg CO2e/Einheit']]],"")</f>
        <v/>
      </c>
    </row>
    <row r="170" spans="2:72" s="89" customFormat="1" x14ac:dyDescent="0.35">
      <c r="B170" s="604"/>
      <c r="C170" s="10" t="str">
        <f t="shared" si="5"/>
        <v>Pendeln_Mitarbeitende</v>
      </c>
      <c r="D170" s="90"/>
      <c r="E170" s="90"/>
      <c r="F170" s="288"/>
      <c r="G170" s="10" t="str">
        <f>IFERROR(VLOOKUP(Pendeln_Mitarbeitende[[#This Row],[Thema_Bezeichung]],EFs_Pendeln[],4,FALSE),"")</f>
        <v/>
      </c>
      <c r="H170" s="90"/>
      <c r="I170" s="90"/>
      <c r="J170" s="90"/>
      <c r="K170" s="90"/>
      <c r="L170" s="289" t="str">
        <f>IF(ISBLANK(Pendeln_Mitarbeitende[[#This Row],[Wert 
(Zahl)]]),"", SUM(Pendeln_Mitarbeitende[[#This Row],[Scope 1 CO2e '[kg CO2e']]:[Scope 3 CO2e '[kg CO2e']]]))</f>
        <v/>
      </c>
      <c r="M170" s="408"/>
      <c r="N170" s="408"/>
      <c r="O170" s="15" t="str">
        <f>IF(ISBLANK(Pendeln_Mitarbeitende[[#This Row],[Emissionsquelle/Aktivität (Dropdown)]]),"",CONCATENATE(Pendeln_Mitarbeitende[[#This Row],[Sektor_Thema]]," - ",Pendeln_Mitarbeitende[[#This Row],[Emissionsquelle/Aktivität (Dropdown)]]))</f>
        <v/>
      </c>
      <c r="P170" s="15" t="str">
        <f>IF(ISBLANK(Pendeln_Mitarbeitende[[#This Row],[Emissionsquelle/Aktivität (Dropdown)]]),"",AND(ISNUMBER(SEARCH("PKW",Pendeln_Mitarbeitende[[#This Row],[Emissionsquelle/Aktivität (Dropdown)]])),ISNUMBER(Pendeln_Mitarbeitende[[#This Row],[PKW-Auslastung:
Personenzahl/ PKW
(optionale Angabe)]])))</f>
        <v/>
      </c>
      <c r="Q170" s="15" t="str">
        <f>IFERROR(VLOOKUP(Pendeln_Mitarbeitende[[#This Row],[Thema_Bezeichung]],EFs_Pendeln[],5,FALSE),"")</f>
        <v/>
      </c>
      <c r="R170" s="15" t="str">
        <f>IFERROR(VLOOKUP(Pendeln_Mitarbeitende[[#This Row],[Thema_Bezeichung]],EFs_Pendeln[],6,FALSE),"")</f>
        <v/>
      </c>
      <c r="S170" s="15" t="str">
        <f>IF(Pendeln_Mitarbeitende[[#This Row],[PKW - Auslastung angegeben?]]=TRUE,IFERROR((VLOOKUP(Pendeln_Mitarbeitende[[#This Row],[Thema_Bezeichung]],EFs_Pendeln[],7,FALSE)*VLOOKUP(Pendeln_Mitarbeitende[[#This Row],[Thema_Bezeichung]],EFs_Pendeln[],9,FALSE)/Pendeln_Mitarbeitende[[#This Row],[PKW-Auslastung:
Personenzahl/ PKW
(optionale Angabe)]]),""),IF(Pendeln_Mitarbeitende[[#This Row],[PKW - Auslastung angegeben?]]=FALSE,IFERROR(VLOOKUP(Pendeln_Mitarbeitende[[#This Row],[Thema_Bezeichung]],EFs_Pendeln[],7,FALSE),""),""))</f>
        <v/>
      </c>
      <c r="T170" s="15" t="str">
        <f>IFERROR(VLOOKUP(Pendeln_Mitarbeitende[[#This Row],[Thema_Bezeichung]],EFs_Pendeln[],8,FALSE),"")</f>
        <v/>
      </c>
      <c r="U170" s="15" t="str">
        <f>IFERROR(Pendeln_Mitarbeitende[[#This Row],[Wert 
(Zahl)]]*Pendeln_Mitarbeitende[[#This Row],[EF Scope 1 CO2e
(kg CO2e/Einheit)]],"")</f>
        <v/>
      </c>
      <c r="V170" s="15" t="str">
        <f>IFERROR(Pendeln_Mitarbeitende[[#This Row],[Wert 
(Zahl)]]*Pendeln_Mitarbeitende[[#This Row],[EF Scope 2 CO2e
(kg CO2e/Einheit)]],"")</f>
        <v/>
      </c>
      <c r="W170" s="15" t="str">
        <f>IFERROR(Pendeln_Mitarbeitende[[#This Row],[Wert 
(Zahl)]]*Pendeln_Mitarbeitende[[#This Row],[EF Scope 3 CO2e
(kg CO2e/Einheit)]],"")</f>
        <v/>
      </c>
      <c r="X170" s="15" t="str">
        <f>IFERROR(Pendeln_Mitarbeitende[[#This Row],[Wert 
(Zahl)]]*Pendeln_Mitarbeitende[[#This Row],[Scope 3 EF Nicht-CO2-Effekte '[kg CO2e/Einheit']]],"")</f>
        <v/>
      </c>
    </row>
    <row r="171" spans="2:72" s="89" customFormat="1" x14ac:dyDescent="0.35">
      <c r="B171" s="604"/>
      <c r="C171" s="10" t="str">
        <f t="shared" si="5"/>
        <v>Pendeln_Mitarbeitende</v>
      </c>
      <c r="D171" s="90"/>
      <c r="E171" s="90"/>
      <c r="F171" s="288"/>
      <c r="G171" s="10" t="str">
        <f>IFERROR(VLOOKUP(Pendeln_Mitarbeitende[[#This Row],[Thema_Bezeichung]],EFs_Pendeln[],4,FALSE),"")</f>
        <v/>
      </c>
      <c r="H171" s="90"/>
      <c r="I171" s="90"/>
      <c r="J171" s="90"/>
      <c r="K171" s="90"/>
      <c r="L171" s="289" t="str">
        <f>IF(ISBLANK(Pendeln_Mitarbeitende[[#This Row],[Wert 
(Zahl)]]),"", SUM(Pendeln_Mitarbeitende[[#This Row],[Scope 1 CO2e '[kg CO2e']]:[Scope 3 CO2e '[kg CO2e']]]))</f>
        <v/>
      </c>
      <c r="M171" s="408"/>
      <c r="N171" s="408"/>
      <c r="O171" s="15" t="str">
        <f>IF(ISBLANK(Pendeln_Mitarbeitende[[#This Row],[Emissionsquelle/Aktivität (Dropdown)]]),"",CONCATENATE(Pendeln_Mitarbeitende[[#This Row],[Sektor_Thema]]," - ",Pendeln_Mitarbeitende[[#This Row],[Emissionsquelle/Aktivität (Dropdown)]]))</f>
        <v/>
      </c>
      <c r="P171" s="15" t="str">
        <f>IF(ISBLANK(Pendeln_Mitarbeitende[[#This Row],[Emissionsquelle/Aktivität (Dropdown)]]),"",AND(ISNUMBER(SEARCH("PKW",Pendeln_Mitarbeitende[[#This Row],[Emissionsquelle/Aktivität (Dropdown)]])),ISNUMBER(Pendeln_Mitarbeitende[[#This Row],[PKW-Auslastung:
Personenzahl/ PKW
(optionale Angabe)]])))</f>
        <v/>
      </c>
      <c r="Q171" s="15" t="str">
        <f>IFERROR(VLOOKUP(Pendeln_Mitarbeitende[[#This Row],[Thema_Bezeichung]],EFs_Pendeln[],5,FALSE),"")</f>
        <v/>
      </c>
      <c r="R171" s="15" t="str">
        <f>IFERROR(VLOOKUP(Pendeln_Mitarbeitende[[#This Row],[Thema_Bezeichung]],EFs_Pendeln[],6,FALSE),"")</f>
        <v/>
      </c>
      <c r="S171" s="15" t="str">
        <f>IF(Pendeln_Mitarbeitende[[#This Row],[PKW - Auslastung angegeben?]]=TRUE,IFERROR((VLOOKUP(Pendeln_Mitarbeitende[[#This Row],[Thema_Bezeichung]],EFs_Pendeln[],7,FALSE)*VLOOKUP(Pendeln_Mitarbeitende[[#This Row],[Thema_Bezeichung]],EFs_Pendeln[],9,FALSE)/Pendeln_Mitarbeitende[[#This Row],[PKW-Auslastung:
Personenzahl/ PKW
(optionale Angabe)]]),""),IF(Pendeln_Mitarbeitende[[#This Row],[PKW - Auslastung angegeben?]]=FALSE,IFERROR(VLOOKUP(Pendeln_Mitarbeitende[[#This Row],[Thema_Bezeichung]],EFs_Pendeln[],7,FALSE),""),""))</f>
        <v/>
      </c>
      <c r="T171" s="15" t="str">
        <f>IFERROR(VLOOKUP(Pendeln_Mitarbeitende[[#This Row],[Thema_Bezeichung]],EFs_Pendeln[],8,FALSE),"")</f>
        <v/>
      </c>
      <c r="U171" s="15" t="str">
        <f>IFERROR(Pendeln_Mitarbeitende[[#This Row],[Wert 
(Zahl)]]*Pendeln_Mitarbeitende[[#This Row],[EF Scope 1 CO2e
(kg CO2e/Einheit)]],"")</f>
        <v/>
      </c>
      <c r="V171" s="15" t="str">
        <f>IFERROR(Pendeln_Mitarbeitende[[#This Row],[Wert 
(Zahl)]]*Pendeln_Mitarbeitende[[#This Row],[EF Scope 2 CO2e
(kg CO2e/Einheit)]],"")</f>
        <v/>
      </c>
      <c r="W171" s="15" t="str">
        <f>IFERROR(Pendeln_Mitarbeitende[[#This Row],[Wert 
(Zahl)]]*Pendeln_Mitarbeitende[[#This Row],[EF Scope 3 CO2e
(kg CO2e/Einheit)]],"")</f>
        <v/>
      </c>
      <c r="X171" s="15" t="str">
        <f>IFERROR(Pendeln_Mitarbeitende[[#This Row],[Wert 
(Zahl)]]*Pendeln_Mitarbeitende[[#This Row],[Scope 3 EF Nicht-CO2-Effekte '[kg CO2e/Einheit']]],"")</f>
        <v/>
      </c>
    </row>
    <row r="172" spans="2:72" s="89" customFormat="1" x14ac:dyDescent="0.35">
      <c r="B172" s="604"/>
      <c r="C172" s="10" t="str">
        <f t="shared" si="5"/>
        <v>Pendeln_Mitarbeitende</v>
      </c>
      <c r="D172" s="90"/>
      <c r="E172" s="90"/>
      <c r="F172" s="288"/>
      <c r="G172" s="10" t="str">
        <f>IFERROR(VLOOKUP(Pendeln_Mitarbeitende[[#This Row],[Thema_Bezeichung]],EFs_Pendeln[],4,FALSE),"")</f>
        <v/>
      </c>
      <c r="H172" s="90"/>
      <c r="I172" s="90"/>
      <c r="J172" s="90"/>
      <c r="K172" s="90"/>
      <c r="L172" s="289" t="str">
        <f>IF(ISBLANK(Pendeln_Mitarbeitende[[#This Row],[Wert 
(Zahl)]]),"", SUM(Pendeln_Mitarbeitende[[#This Row],[Scope 1 CO2e '[kg CO2e']]:[Scope 3 CO2e '[kg CO2e']]]))</f>
        <v/>
      </c>
      <c r="M172" s="408"/>
      <c r="N172" s="408"/>
      <c r="O172" s="15" t="str">
        <f>IF(ISBLANK(Pendeln_Mitarbeitende[[#This Row],[Emissionsquelle/Aktivität (Dropdown)]]),"",CONCATENATE(Pendeln_Mitarbeitende[[#This Row],[Sektor_Thema]]," - ",Pendeln_Mitarbeitende[[#This Row],[Emissionsquelle/Aktivität (Dropdown)]]))</f>
        <v/>
      </c>
      <c r="P172" s="15" t="str">
        <f>IF(ISBLANK(Pendeln_Mitarbeitende[[#This Row],[Emissionsquelle/Aktivität (Dropdown)]]),"",AND(ISNUMBER(SEARCH("PKW",Pendeln_Mitarbeitende[[#This Row],[Emissionsquelle/Aktivität (Dropdown)]])),ISNUMBER(Pendeln_Mitarbeitende[[#This Row],[PKW-Auslastung:
Personenzahl/ PKW
(optionale Angabe)]])))</f>
        <v/>
      </c>
      <c r="Q172" s="15" t="str">
        <f>IFERROR(VLOOKUP(Pendeln_Mitarbeitende[[#This Row],[Thema_Bezeichung]],EFs_Pendeln[],5,FALSE),"")</f>
        <v/>
      </c>
      <c r="R172" s="15" t="str">
        <f>IFERROR(VLOOKUP(Pendeln_Mitarbeitende[[#This Row],[Thema_Bezeichung]],EFs_Pendeln[],6,FALSE),"")</f>
        <v/>
      </c>
      <c r="S172" s="15" t="str">
        <f>IF(Pendeln_Mitarbeitende[[#This Row],[PKW - Auslastung angegeben?]]=TRUE,IFERROR((VLOOKUP(Pendeln_Mitarbeitende[[#This Row],[Thema_Bezeichung]],EFs_Pendeln[],7,FALSE)*VLOOKUP(Pendeln_Mitarbeitende[[#This Row],[Thema_Bezeichung]],EFs_Pendeln[],9,FALSE)/Pendeln_Mitarbeitende[[#This Row],[PKW-Auslastung:
Personenzahl/ PKW
(optionale Angabe)]]),""),IF(Pendeln_Mitarbeitende[[#This Row],[PKW - Auslastung angegeben?]]=FALSE,IFERROR(VLOOKUP(Pendeln_Mitarbeitende[[#This Row],[Thema_Bezeichung]],EFs_Pendeln[],7,FALSE),""),""))</f>
        <v/>
      </c>
      <c r="T172" s="15" t="str">
        <f>IFERROR(VLOOKUP(Pendeln_Mitarbeitende[[#This Row],[Thema_Bezeichung]],EFs_Pendeln[],8,FALSE),"")</f>
        <v/>
      </c>
      <c r="U172" s="15" t="str">
        <f>IFERROR(Pendeln_Mitarbeitende[[#This Row],[Wert 
(Zahl)]]*Pendeln_Mitarbeitende[[#This Row],[EF Scope 1 CO2e
(kg CO2e/Einheit)]],"")</f>
        <v/>
      </c>
      <c r="V172" s="15" t="str">
        <f>IFERROR(Pendeln_Mitarbeitende[[#This Row],[Wert 
(Zahl)]]*Pendeln_Mitarbeitende[[#This Row],[EF Scope 2 CO2e
(kg CO2e/Einheit)]],"")</f>
        <v/>
      </c>
      <c r="W172" s="15" t="str">
        <f>IFERROR(Pendeln_Mitarbeitende[[#This Row],[Wert 
(Zahl)]]*Pendeln_Mitarbeitende[[#This Row],[EF Scope 3 CO2e
(kg CO2e/Einheit)]],"")</f>
        <v/>
      </c>
      <c r="X172" s="15" t="str">
        <f>IFERROR(Pendeln_Mitarbeitende[[#This Row],[Wert 
(Zahl)]]*Pendeln_Mitarbeitende[[#This Row],[Scope 3 EF Nicht-CO2-Effekte '[kg CO2e/Einheit']]],"")</f>
        <v/>
      </c>
    </row>
    <row r="173" spans="2:72" s="89" customFormat="1" x14ac:dyDescent="0.35">
      <c r="B173" s="604"/>
      <c r="C173" s="10" t="str">
        <f t="shared" si="5"/>
        <v>Pendeln_Mitarbeitende</v>
      </c>
      <c r="D173" s="90"/>
      <c r="E173" s="90"/>
      <c r="F173" s="288"/>
      <c r="G173" s="10" t="str">
        <f>IFERROR(VLOOKUP(Pendeln_Mitarbeitende[[#This Row],[Thema_Bezeichung]],EFs_Pendeln[],4,FALSE),"")</f>
        <v/>
      </c>
      <c r="H173" s="90"/>
      <c r="I173" s="90"/>
      <c r="J173" s="90"/>
      <c r="K173" s="90"/>
      <c r="L173" s="289" t="str">
        <f>IF(ISBLANK(Pendeln_Mitarbeitende[[#This Row],[Wert 
(Zahl)]]),"", SUM(Pendeln_Mitarbeitende[[#This Row],[Scope 1 CO2e '[kg CO2e']]:[Scope 3 CO2e '[kg CO2e']]]))</f>
        <v/>
      </c>
      <c r="M173" s="408"/>
      <c r="N173" s="408"/>
      <c r="O173" s="15" t="str">
        <f>IF(ISBLANK(Pendeln_Mitarbeitende[[#This Row],[Emissionsquelle/Aktivität (Dropdown)]]),"",CONCATENATE(Pendeln_Mitarbeitende[[#This Row],[Sektor_Thema]]," - ",Pendeln_Mitarbeitende[[#This Row],[Emissionsquelle/Aktivität (Dropdown)]]))</f>
        <v/>
      </c>
      <c r="P173" s="15" t="str">
        <f>IF(ISBLANK(Pendeln_Mitarbeitende[[#This Row],[Emissionsquelle/Aktivität (Dropdown)]]),"",AND(ISNUMBER(SEARCH("PKW",Pendeln_Mitarbeitende[[#This Row],[Emissionsquelle/Aktivität (Dropdown)]])),ISNUMBER(Pendeln_Mitarbeitende[[#This Row],[PKW-Auslastung:
Personenzahl/ PKW
(optionale Angabe)]])))</f>
        <v/>
      </c>
      <c r="Q173" s="15" t="str">
        <f>IFERROR(VLOOKUP(Pendeln_Mitarbeitende[[#This Row],[Thema_Bezeichung]],EFs_Pendeln[],5,FALSE),"")</f>
        <v/>
      </c>
      <c r="R173" s="15" t="str">
        <f>IFERROR(VLOOKUP(Pendeln_Mitarbeitende[[#This Row],[Thema_Bezeichung]],EFs_Pendeln[],6,FALSE),"")</f>
        <v/>
      </c>
      <c r="S173" s="15" t="str">
        <f>IF(Pendeln_Mitarbeitende[[#This Row],[PKW - Auslastung angegeben?]]=TRUE,IFERROR((VLOOKUP(Pendeln_Mitarbeitende[[#This Row],[Thema_Bezeichung]],EFs_Pendeln[],7,FALSE)*VLOOKUP(Pendeln_Mitarbeitende[[#This Row],[Thema_Bezeichung]],EFs_Pendeln[],9,FALSE)/Pendeln_Mitarbeitende[[#This Row],[PKW-Auslastung:
Personenzahl/ PKW
(optionale Angabe)]]),""),IF(Pendeln_Mitarbeitende[[#This Row],[PKW - Auslastung angegeben?]]=FALSE,IFERROR(VLOOKUP(Pendeln_Mitarbeitende[[#This Row],[Thema_Bezeichung]],EFs_Pendeln[],7,FALSE),""),""))</f>
        <v/>
      </c>
      <c r="T173" s="15" t="str">
        <f>IFERROR(VLOOKUP(Pendeln_Mitarbeitende[[#This Row],[Thema_Bezeichung]],EFs_Pendeln[],8,FALSE),"")</f>
        <v/>
      </c>
      <c r="U173" s="15" t="str">
        <f>IFERROR(Pendeln_Mitarbeitende[[#This Row],[Wert 
(Zahl)]]*Pendeln_Mitarbeitende[[#This Row],[EF Scope 1 CO2e
(kg CO2e/Einheit)]],"")</f>
        <v/>
      </c>
      <c r="V173" s="15" t="str">
        <f>IFERROR(Pendeln_Mitarbeitende[[#This Row],[Wert 
(Zahl)]]*Pendeln_Mitarbeitende[[#This Row],[EF Scope 2 CO2e
(kg CO2e/Einheit)]],"")</f>
        <v/>
      </c>
      <c r="W173" s="15" t="str">
        <f>IFERROR(Pendeln_Mitarbeitende[[#This Row],[Wert 
(Zahl)]]*Pendeln_Mitarbeitende[[#This Row],[EF Scope 3 CO2e
(kg CO2e/Einheit)]],"")</f>
        <v/>
      </c>
      <c r="X173" s="15" t="str">
        <f>IFERROR(Pendeln_Mitarbeitende[[#This Row],[Wert 
(Zahl)]]*Pendeln_Mitarbeitende[[#This Row],[Scope 3 EF Nicht-CO2-Effekte '[kg CO2e/Einheit']]],"")</f>
        <v/>
      </c>
    </row>
    <row r="174" spans="2:72" s="89" customFormat="1" x14ac:dyDescent="0.35">
      <c r="B174" s="604"/>
      <c r="C174" s="10" t="str">
        <f t="shared" si="5"/>
        <v>Pendeln_Mitarbeitende</v>
      </c>
      <c r="D174" s="90"/>
      <c r="E174" s="90"/>
      <c r="F174" s="288"/>
      <c r="G174" s="10" t="str">
        <f>IFERROR(VLOOKUP(Pendeln_Mitarbeitende[[#This Row],[Thema_Bezeichung]],EFs_Pendeln[],4,FALSE),"")</f>
        <v/>
      </c>
      <c r="H174" s="90"/>
      <c r="I174" s="90"/>
      <c r="J174" s="90"/>
      <c r="K174" s="90"/>
      <c r="L174" s="289" t="str">
        <f>IF(ISBLANK(Pendeln_Mitarbeitende[[#This Row],[Wert 
(Zahl)]]),"", SUM(Pendeln_Mitarbeitende[[#This Row],[Scope 1 CO2e '[kg CO2e']]:[Scope 3 CO2e '[kg CO2e']]]))</f>
        <v/>
      </c>
      <c r="M174" s="408"/>
      <c r="N174" s="408"/>
      <c r="O174" s="15" t="str">
        <f>IF(ISBLANK(Pendeln_Mitarbeitende[[#This Row],[Emissionsquelle/Aktivität (Dropdown)]]),"",CONCATENATE(Pendeln_Mitarbeitende[[#This Row],[Sektor_Thema]]," - ",Pendeln_Mitarbeitende[[#This Row],[Emissionsquelle/Aktivität (Dropdown)]]))</f>
        <v/>
      </c>
      <c r="P174" s="15" t="str">
        <f>IF(ISBLANK(Pendeln_Mitarbeitende[[#This Row],[Emissionsquelle/Aktivität (Dropdown)]]),"",AND(ISNUMBER(SEARCH("PKW",Pendeln_Mitarbeitende[[#This Row],[Emissionsquelle/Aktivität (Dropdown)]])),ISNUMBER(Pendeln_Mitarbeitende[[#This Row],[PKW-Auslastung:
Personenzahl/ PKW
(optionale Angabe)]])))</f>
        <v/>
      </c>
      <c r="Q174" s="15" t="str">
        <f>IFERROR(VLOOKUP(Pendeln_Mitarbeitende[[#This Row],[Thema_Bezeichung]],EFs_Pendeln[],5,FALSE),"")</f>
        <v/>
      </c>
      <c r="R174" s="15" t="str">
        <f>IFERROR(VLOOKUP(Pendeln_Mitarbeitende[[#This Row],[Thema_Bezeichung]],EFs_Pendeln[],6,FALSE),"")</f>
        <v/>
      </c>
      <c r="S174" s="15" t="str">
        <f>IF(Pendeln_Mitarbeitende[[#This Row],[PKW - Auslastung angegeben?]]=TRUE,IFERROR((VLOOKUP(Pendeln_Mitarbeitende[[#This Row],[Thema_Bezeichung]],EFs_Pendeln[],7,FALSE)*VLOOKUP(Pendeln_Mitarbeitende[[#This Row],[Thema_Bezeichung]],EFs_Pendeln[],9,FALSE)/Pendeln_Mitarbeitende[[#This Row],[PKW-Auslastung:
Personenzahl/ PKW
(optionale Angabe)]]),""),IF(Pendeln_Mitarbeitende[[#This Row],[PKW - Auslastung angegeben?]]=FALSE,IFERROR(VLOOKUP(Pendeln_Mitarbeitende[[#This Row],[Thema_Bezeichung]],EFs_Pendeln[],7,FALSE),""),""))</f>
        <v/>
      </c>
      <c r="T174" s="15" t="str">
        <f>IFERROR(VLOOKUP(Pendeln_Mitarbeitende[[#This Row],[Thema_Bezeichung]],EFs_Pendeln[],8,FALSE),"")</f>
        <v/>
      </c>
      <c r="U174" s="15" t="str">
        <f>IFERROR(Pendeln_Mitarbeitende[[#This Row],[Wert 
(Zahl)]]*Pendeln_Mitarbeitende[[#This Row],[EF Scope 1 CO2e
(kg CO2e/Einheit)]],"")</f>
        <v/>
      </c>
      <c r="V174" s="15" t="str">
        <f>IFERROR(Pendeln_Mitarbeitende[[#This Row],[Wert 
(Zahl)]]*Pendeln_Mitarbeitende[[#This Row],[EF Scope 2 CO2e
(kg CO2e/Einheit)]],"")</f>
        <v/>
      </c>
      <c r="W174" s="15" t="str">
        <f>IFERROR(Pendeln_Mitarbeitende[[#This Row],[Wert 
(Zahl)]]*Pendeln_Mitarbeitende[[#This Row],[EF Scope 3 CO2e
(kg CO2e/Einheit)]],"")</f>
        <v/>
      </c>
      <c r="X174" s="15" t="str">
        <f>IFERROR(Pendeln_Mitarbeitende[[#This Row],[Wert 
(Zahl)]]*Pendeln_Mitarbeitende[[#This Row],[Scope 3 EF Nicht-CO2-Effekte '[kg CO2e/Einheit']]],"")</f>
        <v/>
      </c>
    </row>
    <row r="175" spans="2:72" s="89" customFormat="1" x14ac:dyDescent="0.35">
      <c r="B175" s="604"/>
      <c r="C175" s="10" t="str">
        <f t="shared" si="5"/>
        <v>Pendeln_Mitarbeitende</v>
      </c>
      <c r="D175" s="90"/>
      <c r="E175" s="90"/>
      <c r="F175" s="288"/>
      <c r="G175" s="10" t="str">
        <f>IFERROR(VLOOKUP(Pendeln_Mitarbeitende[[#This Row],[Thema_Bezeichung]],EFs_Pendeln[],4,FALSE),"")</f>
        <v/>
      </c>
      <c r="H175" s="90"/>
      <c r="I175" s="90"/>
      <c r="J175" s="90"/>
      <c r="K175" s="90"/>
      <c r="L175" s="289" t="str">
        <f>IF(ISBLANK(Pendeln_Mitarbeitende[[#This Row],[Wert 
(Zahl)]]),"", SUM(Pendeln_Mitarbeitende[[#This Row],[Scope 1 CO2e '[kg CO2e']]:[Scope 3 CO2e '[kg CO2e']]]))</f>
        <v/>
      </c>
      <c r="M175" s="408"/>
      <c r="N175" s="408"/>
      <c r="O175" s="15" t="str">
        <f>IF(ISBLANK(Pendeln_Mitarbeitende[[#This Row],[Emissionsquelle/Aktivität (Dropdown)]]),"",CONCATENATE(Pendeln_Mitarbeitende[[#This Row],[Sektor_Thema]]," - ",Pendeln_Mitarbeitende[[#This Row],[Emissionsquelle/Aktivität (Dropdown)]]))</f>
        <v/>
      </c>
      <c r="P175" s="15" t="str">
        <f>IF(ISBLANK(Pendeln_Mitarbeitende[[#This Row],[Emissionsquelle/Aktivität (Dropdown)]]),"",AND(ISNUMBER(SEARCH("PKW",Pendeln_Mitarbeitende[[#This Row],[Emissionsquelle/Aktivität (Dropdown)]])),ISNUMBER(Pendeln_Mitarbeitende[[#This Row],[PKW-Auslastung:
Personenzahl/ PKW
(optionale Angabe)]])))</f>
        <v/>
      </c>
      <c r="Q175" s="15" t="str">
        <f>IFERROR(VLOOKUP(Pendeln_Mitarbeitende[[#This Row],[Thema_Bezeichung]],EFs_Pendeln[],5,FALSE),"")</f>
        <v/>
      </c>
      <c r="R175" s="15" t="str">
        <f>IFERROR(VLOOKUP(Pendeln_Mitarbeitende[[#This Row],[Thema_Bezeichung]],EFs_Pendeln[],6,FALSE),"")</f>
        <v/>
      </c>
      <c r="S175" s="15" t="str">
        <f>IF(Pendeln_Mitarbeitende[[#This Row],[PKW - Auslastung angegeben?]]=TRUE,IFERROR((VLOOKUP(Pendeln_Mitarbeitende[[#This Row],[Thema_Bezeichung]],EFs_Pendeln[],7,FALSE)*VLOOKUP(Pendeln_Mitarbeitende[[#This Row],[Thema_Bezeichung]],EFs_Pendeln[],9,FALSE)/Pendeln_Mitarbeitende[[#This Row],[PKW-Auslastung:
Personenzahl/ PKW
(optionale Angabe)]]),""),IF(Pendeln_Mitarbeitende[[#This Row],[PKW - Auslastung angegeben?]]=FALSE,IFERROR(VLOOKUP(Pendeln_Mitarbeitende[[#This Row],[Thema_Bezeichung]],EFs_Pendeln[],7,FALSE),""),""))</f>
        <v/>
      </c>
      <c r="T175" s="15" t="str">
        <f>IFERROR(VLOOKUP(Pendeln_Mitarbeitende[[#This Row],[Thema_Bezeichung]],EFs_Pendeln[],8,FALSE),"")</f>
        <v/>
      </c>
      <c r="U175" s="15" t="str">
        <f>IFERROR(Pendeln_Mitarbeitende[[#This Row],[Wert 
(Zahl)]]*Pendeln_Mitarbeitende[[#This Row],[EF Scope 1 CO2e
(kg CO2e/Einheit)]],"")</f>
        <v/>
      </c>
      <c r="V175" s="15" t="str">
        <f>IFERROR(Pendeln_Mitarbeitende[[#This Row],[Wert 
(Zahl)]]*Pendeln_Mitarbeitende[[#This Row],[EF Scope 2 CO2e
(kg CO2e/Einheit)]],"")</f>
        <v/>
      </c>
      <c r="W175" s="15" t="str">
        <f>IFERROR(Pendeln_Mitarbeitende[[#This Row],[Wert 
(Zahl)]]*Pendeln_Mitarbeitende[[#This Row],[EF Scope 3 CO2e
(kg CO2e/Einheit)]],"")</f>
        <v/>
      </c>
      <c r="X175" s="15" t="str">
        <f>IFERROR(Pendeln_Mitarbeitende[[#This Row],[Wert 
(Zahl)]]*Pendeln_Mitarbeitende[[#This Row],[Scope 3 EF Nicht-CO2-Effekte '[kg CO2e/Einheit']]],"")</f>
        <v/>
      </c>
    </row>
    <row r="176" spans="2:72" s="89" customFormat="1" x14ac:dyDescent="0.35">
      <c r="B176" s="604"/>
      <c r="C176" s="10" t="str">
        <f t="shared" si="5"/>
        <v>Pendeln_Mitarbeitende</v>
      </c>
      <c r="D176" s="90"/>
      <c r="E176" s="90"/>
      <c r="F176" s="288"/>
      <c r="G176" s="10" t="str">
        <f>IFERROR(VLOOKUP(Pendeln_Mitarbeitende[[#This Row],[Thema_Bezeichung]],EFs_Pendeln[],4,FALSE),"")</f>
        <v/>
      </c>
      <c r="H176" s="90"/>
      <c r="I176" s="90"/>
      <c r="J176" s="90"/>
      <c r="K176" s="90"/>
      <c r="L176" s="289" t="str">
        <f>IF(ISBLANK(Pendeln_Mitarbeitende[[#This Row],[Wert 
(Zahl)]]),"", SUM(Pendeln_Mitarbeitende[[#This Row],[Scope 1 CO2e '[kg CO2e']]:[Scope 3 CO2e '[kg CO2e']]]))</f>
        <v/>
      </c>
      <c r="M176" s="408"/>
      <c r="N176" s="408"/>
      <c r="O176" s="15" t="str">
        <f>IF(ISBLANK(Pendeln_Mitarbeitende[[#This Row],[Emissionsquelle/Aktivität (Dropdown)]]),"",CONCATENATE(Pendeln_Mitarbeitende[[#This Row],[Sektor_Thema]]," - ",Pendeln_Mitarbeitende[[#This Row],[Emissionsquelle/Aktivität (Dropdown)]]))</f>
        <v/>
      </c>
      <c r="P176" s="15" t="str">
        <f>IF(ISBLANK(Pendeln_Mitarbeitende[[#This Row],[Emissionsquelle/Aktivität (Dropdown)]]),"",AND(ISNUMBER(SEARCH("PKW",Pendeln_Mitarbeitende[[#This Row],[Emissionsquelle/Aktivität (Dropdown)]])),ISNUMBER(Pendeln_Mitarbeitende[[#This Row],[PKW-Auslastung:
Personenzahl/ PKW
(optionale Angabe)]])))</f>
        <v/>
      </c>
      <c r="Q176" s="15" t="str">
        <f>IFERROR(VLOOKUP(Pendeln_Mitarbeitende[[#This Row],[Thema_Bezeichung]],EFs_Pendeln[],5,FALSE),"")</f>
        <v/>
      </c>
      <c r="R176" s="15" t="str">
        <f>IFERROR(VLOOKUP(Pendeln_Mitarbeitende[[#This Row],[Thema_Bezeichung]],EFs_Pendeln[],6,FALSE),"")</f>
        <v/>
      </c>
      <c r="S176" s="15" t="str">
        <f>IF(Pendeln_Mitarbeitende[[#This Row],[PKW - Auslastung angegeben?]]=TRUE,IFERROR((VLOOKUP(Pendeln_Mitarbeitende[[#This Row],[Thema_Bezeichung]],EFs_Pendeln[],7,FALSE)*VLOOKUP(Pendeln_Mitarbeitende[[#This Row],[Thema_Bezeichung]],EFs_Pendeln[],9,FALSE)/Pendeln_Mitarbeitende[[#This Row],[PKW-Auslastung:
Personenzahl/ PKW
(optionale Angabe)]]),""),IF(Pendeln_Mitarbeitende[[#This Row],[PKW - Auslastung angegeben?]]=FALSE,IFERROR(VLOOKUP(Pendeln_Mitarbeitende[[#This Row],[Thema_Bezeichung]],EFs_Pendeln[],7,FALSE),""),""))</f>
        <v/>
      </c>
      <c r="T176" s="15" t="str">
        <f>IFERROR(VLOOKUP(Pendeln_Mitarbeitende[[#This Row],[Thema_Bezeichung]],EFs_Pendeln[],8,FALSE),"")</f>
        <v/>
      </c>
      <c r="U176" s="15" t="str">
        <f>IFERROR(Pendeln_Mitarbeitende[[#This Row],[Wert 
(Zahl)]]*Pendeln_Mitarbeitende[[#This Row],[EF Scope 1 CO2e
(kg CO2e/Einheit)]],"")</f>
        <v/>
      </c>
      <c r="V176" s="15" t="str">
        <f>IFERROR(Pendeln_Mitarbeitende[[#This Row],[Wert 
(Zahl)]]*Pendeln_Mitarbeitende[[#This Row],[EF Scope 2 CO2e
(kg CO2e/Einheit)]],"")</f>
        <v/>
      </c>
      <c r="W176" s="15" t="str">
        <f>IFERROR(Pendeln_Mitarbeitende[[#This Row],[Wert 
(Zahl)]]*Pendeln_Mitarbeitende[[#This Row],[EF Scope 3 CO2e
(kg CO2e/Einheit)]],"")</f>
        <v/>
      </c>
      <c r="X176" s="15" t="str">
        <f>IFERROR(Pendeln_Mitarbeitende[[#This Row],[Wert 
(Zahl)]]*Pendeln_Mitarbeitende[[#This Row],[Scope 3 EF Nicht-CO2-Effekte '[kg CO2e/Einheit']]],"")</f>
        <v/>
      </c>
    </row>
    <row r="177" spans="2:72" s="89" customFormat="1" x14ac:dyDescent="0.35">
      <c r="B177" s="604"/>
      <c r="C177" s="10" t="str">
        <f t="shared" si="5"/>
        <v>Pendeln_Mitarbeitende</v>
      </c>
      <c r="D177" s="90"/>
      <c r="E177" s="90"/>
      <c r="F177" s="288"/>
      <c r="G177" s="10" t="str">
        <f>IFERROR(VLOOKUP(Pendeln_Mitarbeitende[[#This Row],[Thema_Bezeichung]],EFs_Pendeln[],4,FALSE),"")</f>
        <v/>
      </c>
      <c r="H177" s="90"/>
      <c r="I177" s="90"/>
      <c r="J177" s="90"/>
      <c r="K177" s="90"/>
      <c r="L177" s="289" t="str">
        <f>IF(ISBLANK(Pendeln_Mitarbeitende[[#This Row],[Wert 
(Zahl)]]),"", SUM(Pendeln_Mitarbeitende[[#This Row],[Scope 1 CO2e '[kg CO2e']]:[Scope 3 CO2e '[kg CO2e']]]))</f>
        <v/>
      </c>
      <c r="M177" s="408"/>
      <c r="N177" s="408"/>
      <c r="O177" s="15" t="str">
        <f>IF(ISBLANK(Pendeln_Mitarbeitende[[#This Row],[Emissionsquelle/Aktivität (Dropdown)]]),"",CONCATENATE(Pendeln_Mitarbeitende[[#This Row],[Sektor_Thema]]," - ",Pendeln_Mitarbeitende[[#This Row],[Emissionsquelle/Aktivität (Dropdown)]]))</f>
        <v/>
      </c>
      <c r="P177" s="15" t="str">
        <f>IF(ISBLANK(Pendeln_Mitarbeitende[[#This Row],[Emissionsquelle/Aktivität (Dropdown)]]),"",AND(ISNUMBER(SEARCH("PKW",Pendeln_Mitarbeitende[[#This Row],[Emissionsquelle/Aktivität (Dropdown)]])),ISNUMBER(Pendeln_Mitarbeitende[[#This Row],[PKW-Auslastung:
Personenzahl/ PKW
(optionale Angabe)]])))</f>
        <v/>
      </c>
      <c r="Q177" s="15" t="str">
        <f>IFERROR(VLOOKUP(Pendeln_Mitarbeitende[[#This Row],[Thema_Bezeichung]],EFs_Pendeln[],5,FALSE),"")</f>
        <v/>
      </c>
      <c r="R177" s="15" t="str">
        <f>IFERROR(VLOOKUP(Pendeln_Mitarbeitende[[#This Row],[Thema_Bezeichung]],EFs_Pendeln[],6,FALSE),"")</f>
        <v/>
      </c>
      <c r="S177" s="15" t="str">
        <f>IF(Pendeln_Mitarbeitende[[#This Row],[PKW - Auslastung angegeben?]]=TRUE,IFERROR((VLOOKUP(Pendeln_Mitarbeitende[[#This Row],[Thema_Bezeichung]],EFs_Pendeln[],7,FALSE)*VLOOKUP(Pendeln_Mitarbeitende[[#This Row],[Thema_Bezeichung]],EFs_Pendeln[],9,FALSE)/Pendeln_Mitarbeitende[[#This Row],[PKW-Auslastung:
Personenzahl/ PKW
(optionale Angabe)]]),""),IF(Pendeln_Mitarbeitende[[#This Row],[PKW - Auslastung angegeben?]]=FALSE,IFERROR(VLOOKUP(Pendeln_Mitarbeitende[[#This Row],[Thema_Bezeichung]],EFs_Pendeln[],7,FALSE),""),""))</f>
        <v/>
      </c>
      <c r="T177" s="15" t="str">
        <f>IFERROR(VLOOKUP(Pendeln_Mitarbeitende[[#This Row],[Thema_Bezeichung]],EFs_Pendeln[],8,FALSE),"")</f>
        <v/>
      </c>
      <c r="U177" s="15" t="str">
        <f>IFERROR(Pendeln_Mitarbeitende[[#This Row],[Wert 
(Zahl)]]*Pendeln_Mitarbeitende[[#This Row],[EF Scope 1 CO2e
(kg CO2e/Einheit)]],"")</f>
        <v/>
      </c>
      <c r="V177" s="15" t="str">
        <f>IFERROR(Pendeln_Mitarbeitende[[#This Row],[Wert 
(Zahl)]]*Pendeln_Mitarbeitende[[#This Row],[EF Scope 2 CO2e
(kg CO2e/Einheit)]],"")</f>
        <v/>
      </c>
      <c r="W177" s="15" t="str">
        <f>IFERROR(Pendeln_Mitarbeitende[[#This Row],[Wert 
(Zahl)]]*Pendeln_Mitarbeitende[[#This Row],[EF Scope 3 CO2e
(kg CO2e/Einheit)]],"")</f>
        <v/>
      </c>
      <c r="X177" s="15" t="str">
        <f>IFERROR(Pendeln_Mitarbeitende[[#This Row],[Wert 
(Zahl)]]*Pendeln_Mitarbeitende[[#This Row],[Scope 3 EF Nicht-CO2-Effekte '[kg CO2e/Einheit']]],"")</f>
        <v/>
      </c>
    </row>
    <row r="178" spans="2:72" s="89" customFormat="1" x14ac:dyDescent="0.35">
      <c r="B178" s="604"/>
      <c r="C178" s="10" t="str">
        <f t="shared" si="5"/>
        <v>Pendeln_Mitarbeitende</v>
      </c>
      <c r="D178" s="90"/>
      <c r="E178" s="90"/>
      <c r="F178" s="288"/>
      <c r="G178" s="10" t="str">
        <f>IFERROR(VLOOKUP(Pendeln_Mitarbeitende[[#This Row],[Thema_Bezeichung]],EFs_Pendeln[],4,FALSE),"")</f>
        <v/>
      </c>
      <c r="H178" s="90"/>
      <c r="I178" s="90"/>
      <c r="J178" s="90"/>
      <c r="K178" s="90"/>
      <c r="L178" s="289" t="str">
        <f>IF(ISBLANK(Pendeln_Mitarbeitende[[#This Row],[Wert 
(Zahl)]]),"", SUM(Pendeln_Mitarbeitende[[#This Row],[Scope 1 CO2e '[kg CO2e']]:[Scope 3 CO2e '[kg CO2e']]]))</f>
        <v/>
      </c>
      <c r="M178" s="408"/>
      <c r="N178" s="408"/>
      <c r="O178" s="15" t="str">
        <f>IF(ISBLANK(Pendeln_Mitarbeitende[[#This Row],[Emissionsquelle/Aktivität (Dropdown)]]),"",CONCATENATE(Pendeln_Mitarbeitende[[#This Row],[Sektor_Thema]]," - ",Pendeln_Mitarbeitende[[#This Row],[Emissionsquelle/Aktivität (Dropdown)]]))</f>
        <v/>
      </c>
      <c r="P178" s="15" t="str">
        <f>IF(ISBLANK(Pendeln_Mitarbeitende[[#This Row],[Emissionsquelle/Aktivität (Dropdown)]]),"",AND(ISNUMBER(SEARCH("PKW",Pendeln_Mitarbeitende[[#This Row],[Emissionsquelle/Aktivität (Dropdown)]])),ISNUMBER(Pendeln_Mitarbeitende[[#This Row],[PKW-Auslastung:
Personenzahl/ PKW
(optionale Angabe)]])))</f>
        <v/>
      </c>
      <c r="Q178" s="15" t="str">
        <f>IFERROR(VLOOKUP(Pendeln_Mitarbeitende[[#This Row],[Thema_Bezeichung]],EFs_Pendeln[],5,FALSE),"")</f>
        <v/>
      </c>
      <c r="R178" s="15" t="str">
        <f>IFERROR(VLOOKUP(Pendeln_Mitarbeitende[[#This Row],[Thema_Bezeichung]],EFs_Pendeln[],6,FALSE),"")</f>
        <v/>
      </c>
      <c r="S178" s="15" t="str">
        <f>IF(Pendeln_Mitarbeitende[[#This Row],[PKW - Auslastung angegeben?]]=TRUE,IFERROR((VLOOKUP(Pendeln_Mitarbeitende[[#This Row],[Thema_Bezeichung]],EFs_Pendeln[],7,FALSE)*VLOOKUP(Pendeln_Mitarbeitende[[#This Row],[Thema_Bezeichung]],EFs_Pendeln[],9,FALSE)/Pendeln_Mitarbeitende[[#This Row],[PKW-Auslastung:
Personenzahl/ PKW
(optionale Angabe)]]),""),IF(Pendeln_Mitarbeitende[[#This Row],[PKW - Auslastung angegeben?]]=FALSE,IFERROR(VLOOKUP(Pendeln_Mitarbeitende[[#This Row],[Thema_Bezeichung]],EFs_Pendeln[],7,FALSE),""),""))</f>
        <v/>
      </c>
      <c r="T178" s="15" t="str">
        <f>IFERROR(VLOOKUP(Pendeln_Mitarbeitende[[#This Row],[Thema_Bezeichung]],EFs_Pendeln[],8,FALSE),"")</f>
        <v/>
      </c>
      <c r="U178" s="15" t="str">
        <f>IFERROR(Pendeln_Mitarbeitende[[#This Row],[Wert 
(Zahl)]]*Pendeln_Mitarbeitende[[#This Row],[EF Scope 1 CO2e
(kg CO2e/Einheit)]],"")</f>
        <v/>
      </c>
      <c r="V178" s="15" t="str">
        <f>IFERROR(Pendeln_Mitarbeitende[[#This Row],[Wert 
(Zahl)]]*Pendeln_Mitarbeitende[[#This Row],[EF Scope 2 CO2e
(kg CO2e/Einheit)]],"")</f>
        <v/>
      </c>
      <c r="W178" s="15" t="str">
        <f>IFERROR(Pendeln_Mitarbeitende[[#This Row],[Wert 
(Zahl)]]*Pendeln_Mitarbeitende[[#This Row],[EF Scope 3 CO2e
(kg CO2e/Einheit)]],"")</f>
        <v/>
      </c>
      <c r="X178" s="15" t="str">
        <f>IFERROR(Pendeln_Mitarbeitende[[#This Row],[Wert 
(Zahl)]]*Pendeln_Mitarbeitende[[#This Row],[Scope 3 EF Nicht-CO2-Effekte '[kg CO2e/Einheit']]],"")</f>
        <v/>
      </c>
    </row>
    <row r="179" spans="2:72" s="89" customFormat="1" x14ac:dyDescent="0.35">
      <c r="B179" s="604"/>
      <c r="C179" s="10" t="str">
        <f t="shared" si="5"/>
        <v>Pendeln_Mitarbeitende</v>
      </c>
      <c r="D179" s="90"/>
      <c r="E179" s="90"/>
      <c r="F179" s="288"/>
      <c r="G179" s="10" t="str">
        <f>IFERROR(VLOOKUP(Pendeln_Mitarbeitende[[#This Row],[Thema_Bezeichung]],EFs_Pendeln[],4,FALSE),"")</f>
        <v/>
      </c>
      <c r="H179" s="90"/>
      <c r="I179" s="90"/>
      <c r="J179" s="90"/>
      <c r="K179" s="90"/>
      <c r="L179" s="289" t="str">
        <f>IF(ISBLANK(Pendeln_Mitarbeitende[[#This Row],[Wert 
(Zahl)]]),"", SUM(Pendeln_Mitarbeitende[[#This Row],[Scope 1 CO2e '[kg CO2e']]:[Scope 3 CO2e '[kg CO2e']]]))</f>
        <v/>
      </c>
      <c r="M179" s="408"/>
      <c r="N179" s="408"/>
      <c r="O179" s="15" t="str">
        <f>IF(ISBLANK(Pendeln_Mitarbeitende[[#This Row],[Emissionsquelle/Aktivität (Dropdown)]]),"",CONCATENATE(Pendeln_Mitarbeitende[[#This Row],[Sektor_Thema]]," - ",Pendeln_Mitarbeitende[[#This Row],[Emissionsquelle/Aktivität (Dropdown)]]))</f>
        <v/>
      </c>
      <c r="P179" s="15" t="str">
        <f>IF(ISBLANK(Pendeln_Mitarbeitende[[#This Row],[Emissionsquelle/Aktivität (Dropdown)]]),"",AND(ISNUMBER(SEARCH("PKW",Pendeln_Mitarbeitende[[#This Row],[Emissionsquelle/Aktivität (Dropdown)]])),ISNUMBER(Pendeln_Mitarbeitende[[#This Row],[PKW-Auslastung:
Personenzahl/ PKW
(optionale Angabe)]])))</f>
        <v/>
      </c>
      <c r="Q179" s="15" t="str">
        <f>IFERROR(VLOOKUP(Pendeln_Mitarbeitende[[#This Row],[Thema_Bezeichung]],EFs_Pendeln[],5,FALSE),"")</f>
        <v/>
      </c>
      <c r="R179" s="15" t="str">
        <f>IFERROR(VLOOKUP(Pendeln_Mitarbeitende[[#This Row],[Thema_Bezeichung]],EFs_Pendeln[],6,FALSE),"")</f>
        <v/>
      </c>
      <c r="S179" s="15" t="str">
        <f>IF(Pendeln_Mitarbeitende[[#This Row],[PKW - Auslastung angegeben?]]=TRUE,IFERROR((VLOOKUP(Pendeln_Mitarbeitende[[#This Row],[Thema_Bezeichung]],EFs_Pendeln[],7,FALSE)*VLOOKUP(Pendeln_Mitarbeitende[[#This Row],[Thema_Bezeichung]],EFs_Pendeln[],9,FALSE)/Pendeln_Mitarbeitende[[#This Row],[PKW-Auslastung:
Personenzahl/ PKW
(optionale Angabe)]]),""),IF(Pendeln_Mitarbeitende[[#This Row],[PKW - Auslastung angegeben?]]=FALSE,IFERROR(VLOOKUP(Pendeln_Mitarbeitende[[#This Row],[Thema_Bezeichung]],EFs_Pendeln[],7,FALSE),""),""))</f>
        <v/>
      </c>
      <c r="T179" s="15" t="str">
        <f>IFERROR(VLOOKUP(Pendeln_Mitarbeitende[[#This Row],[Thema_Bezeichung]],EFs_Pendeln[],8,FALSE),"")</f>
        <v/>
      </c>
      <c r="U179" s="15" t="str">
        <f>IFERROR(Pendeln_Mitarbeitende[[#This Row],[Wert 
(Zahl)]]*Pendeln_Mitarbeitende[[#This Row],[EF Scope 1 CO2e
(kg CO2e/Einheit)]],"")</f>
        <v/>
      </c>
      <c r="V179" s="15" t="str">
        <f>IFERROR(Pendeln_Mitarbeitende[[#This Row],[Wert 
(Zahl)]]*Pendeln_Mitarbeitende[[#This Row],[EF Scope 2 CO2e
(kg CO2e/Einheit)]],"")</f>
        <v/>
      </c>
      <c r="W179" s="15" t="str">
        <f>IFERROR(Pendeln_Mitarbeitende[[#This Row],[Wert 
(Zahl)]]*Pendeln_Mitarbeitende[[#This Row],[EF Scope 3 CO2e
(kg CO2e/Einheit)]],"")</f>
        <v/>
      </c>
      <c r="X179" s="15" t="str">
        <f>IFERROR(Pendeln_Mitarbeitende[[#This Row],[Wert 
(Zahl)]]*Pendeln_Mitarbeitende[[#This Row],[Scope 3 EF Nicht-CO2-Effekte '[kg CO2e/Einheit']]],"")</f>
        <v/>
      </c>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row>
    <row r="180" spans="2:72" s="89" customFormat="1" x14ac:dyDescent="0.35">
      <c r="B180" s="604"/>
      <c r="C180" s="10" t="str">
        <f t="shared" si="5"/>
        <v>Pendeln_Mitarbeitende</v>
      </c>
      <c r="D180" s="90"/>
      <c r="E180" s="90"/>
      <c r="F180" s="288"/>
      <c r="G180" s="10" t="str">
        <f>IFERROR(VLOOKUP(Pendeln_Mitarbeitende[[#This Row],[Thema_Bezeichung]],EFs_Pendeln[],4,FALSE),"")</f>
        <v/>
      </c>
      <c r="H180" s="90"/>
      <c r="I180" s="90"/>
      <c r="J180" s="90"/>
      <c r="K180" s="90"/>
      <c r="L180" s="289" t="str">
        <f>IF(ISBLANK(Pendeln_Mitarbeitende[[#This Row],[Wert 
(Zahl)]]),"", SUM(Pendeln_Mitarbeitende[[#This Row],[Scope 1 CO2e '[kg CO2e']]:[Scope 3 CO2e '[kg CO2e']]]))</f>
        <v/>
      </c>
      <c r="M180" s="408"/>
      <c r="N180" s="408"/>
      <c r="O180" s="15" t="str">
        <f>IF(ISBLANK(Pendeln_Mitarbeitende[[#This Row],[Emissionsquelle/Aktivität (Dropdown)]]),"",CONCATENATE(Pendeln_Mitarbeitende[[#This Row],[Sektor_Thema]]," - ",Pendeln_Mitarbeitende[[#This Row],[Emissionsquelle/Aktivität (Dropdown)]]))</f>
        <v/>
      </c>
      <c r="P180" s="15" t="str">
        <f>IF(ISBLANK(Pendeln_Mitarbeitende[[#This Row],[Emissionsquelle/Aktivität (Dropdown)]]),"",AND(ISNUMBER(SEARCH("PKW",Pendeln_Mitarbeitende[[#This Row],[Emissionsquelle/Aktivität (Dropdown)]])),ISNUMBER(Pendeln_Mitarbeitende[[#This Row],[PKW-Auslastung:
Personenzahl/ PKW
(optionale Angabe)]])))</f>
        <v/>
      </c>
      <c r="Q180" s="15" t="str">
        <f>IFERROR(VLOOKUP(Pendeln_Mitarbeitende[[#This Row],[Thema_Bezeichung]],EFs_Pendeln[],5,FALSE),"")</f>
        <v/>
      </c>
      <c r="R180" s="15" t="str">
        <f>IFERROR(VLOOKUP(Pendeln_Mitarbeitende[[#This Row],[Thema_Bezeichung]],EFs_Pendeln[],6,FALSE),"")</f>
        <v/>
      </c>
      <c r="S180" s="15" t="str">
        <f>IF(Pendeln_Mitarbeitende[[#This Row],[PKW - Auslastung angegeben?]]=TRUE,IFERROR((VLOOKUP(Pendeln_Mitarbeitende[[#This Row],[Thema_Bezeichung]],EFs_Pendeln[],7,FALSE)*VLOOKUP(Pendeln_Mitarbeitende[[#This Row],[Thema_Bezeichung]],EFs_Pendeln[],9,FALSE)/Pendeln_Mitarbeitende[[#This Row],[PKW-Auslastung:
Personenzahl/ PKW
(optionale Angabe)]]),""),IF(Pendeln_Mitarbeitende[[#This Row],[PKW - Auslastung angegeben?]]=FALSE,IFERROR(VLOOKUP(Pendeln_Mitarbeitende[[#This Row],[Thema_Bezeichung]],EFs_Pendeln[],7,FALSE),""),""))</f>
        <v/>
      </c>
      <c r="T180" s="15" t="str">
        <f>IFERROR(VLOOKUP(Pendeln_Mitarbeitende[[#This Row],[Thema_Bezeichung]],EFs_Pendeln[],8,FALSE),"")</f>
        <v/>
      </c>
      <c r="U180" s="15" t="str">
        <f>IFERROR(Pendeln_Mitarbeitende[[#This Row],[Wert 
(Zahl)]]*Pendeln_Mitarbeitende[[#This Row],[EF Scope 1 CO2e
(kg CO2e/Einheit)]],"")</f>
        <v/>
      </c>
      <c r="V180" s="15" t="str">
        <f>IFERROR(Pendeln_Mitarbeitende[[#This Row],[Wert 
(Zahl)]]*Pendeln_Mitarbeitende[[#This Row],[EF Scope 2 CO2e
(kg CO2e/Einheit)]],"")</f>
        <v/>
      </c>
      <c r="W180" s="15" t="str">
        <f>IFERROR(Pendeln_Mitarbeitende[[#This Row],[Wert 
(Zahl)]]*Pendeln_Mitarbeitende[[#This Row],[EF Scope 3 CO2e
(kg CO2e/Einheit)]],"")</f>
        <v/>
      </c>
      <c r="X180" s="15" t="str">
        <f>IFERROR(Pendeln_Mitarbeitende[[#This Row],[Wert 
(Zahl)]]*Pendeln_Mitarbeitende[[#This Row],[Scope 3 EF Nicht-CO2-Effekte '[kg CO2e/Einheit']]],"")</f>
        <v/>
      </c>
      <c r="AS180"/>
      <c r="AT180"/>
      <c r="AU180"/>
      <c r="AV180"/>
      <c r="AW180"/>
      <c r="AX180"/>
      <c r="AY180"/>
      <c r="AZ180"/>
      <c r="BA180"/>
      <c r="BB180"/>
      <c r="BC180"/>
      <c r="BD180"/>
      <c r="BE180"/>
      <c r="BF180"/>
      <c r="BG180"/>
      <c r="BH180"/>
      <c r="BI180"/>
      <c r="BJ180"/>
      <c r="BK180"/>
      <c r="BL180"/>
      <c r="BM180"/>
      <c r="BN180"/>
      <c r="BO180"/>
      <c r="BP180"/>
      <c r="BQ180"/>
      <c r="BR180"/>
      <c r="BS180"/>
      <c r="BT180"/>
    </row>
    <row r="181" spans="2:72" s="89" customFormat="1" x14ac:dyDescent="0.35">
      <c r="B181" s="604"/>
      <c r="C181" s="10" t="str">
        <f t="shared" si="5"/>
        <v>Pendeln_Mitarbeitende</v>
      </c>
      <c r="D181" s="90"/>
      <c r="E181" s="90"/>
      <c r="F181" s="288"/>
      <c r="G181" s="10" t="str">
        <f>IFERROR(VLOOKUP(Pendeln_Mitarbeitende[[#This Row],[Thema_Bezeichung]],EFs_Pendeln[],4,FALSE),"")</f>
        <v/>
      </c>
      <c r="H181" s="90"/>
      <c r="I181" s="90"/>
      <c r="J181" s="90"/>
      <c r="K181" s="90"/>
      <c r="L181" s="289" t="str">
        <f>IF(ISBLANK(Pendeln_Mitarbeitende[[#This Row],[Wert 
(Zahl)]]),"", SUM(Pendeln_Mitarbeitende[[#This Row],[Scope 1 CO2e '[kg CO2e']]:[Scope 3 CO2e '[kg CO2e']]]))</f>
        <v/>
      </c>
      <c r="M181" s="408"/>
      <c r="N181" s="408"/>
      <c r="O181" s="15" t="str">
        <f>IF(ISBLANK(Pendeln_Mitarbeitende[[#This Row],[Emissionsquelle/Aktivität (Dropdown)]]),"",CONCATENATE(Pendeln_Mitarbeitende[[#This Row],[Sektor_Thema]]," - ",Pendeln_Mitarbeitende[[#This Row],[Emissionsquelle/Aktivität (Dropdown)]]))</f>
        <v/>
      </c>
      <c r="P181" s="15" t="str">
        <f>IF(ISBLANK(Pendeln_Mitarbeitende[[#This Row],[Emissionsquelle/Aktivität (Dropdown)]]),"",AND(ISNUMBER(SEARCH("PKW",Pendeln_Mitarbeitende[[#This Row],[Emissionsquelle/Aktivität (Dropdown)]])),ISNUMBER(Pendeln_Mitarbeitende[[#This Row],[PKW-Auslastung:
Personenzahl/ PKW
(optionale Angabe)]])))</f>
        <v/>
      </c>
      <c r="Q181" s="15" t="str">
        <f>IFERROR(VLOOKUP(Pendeln_Mitarbeitende[[#This Row],[Thema_Bezeichung]],EFs_Pendeln[],5,FALSE),"")</f>
        <v/>
      </c>
      <c r="R181" s="15" t="str">
        <f>IFERROR(VLOOKUP(Pendeln_Mitarbeitende[[#This Row],[Thema_Bezeichung]],EFs_Pendeln[],6,FALSE),"")</f>
        <v/>
      </c>
      <c r="S181" s="15" t="str">
        <f>IF(Pendeln_Mitarbeitende[[#This Row],[PKW - Auslastung angegeben?]]=TRUE,IFERROR((VLOOKUP(Pendeln_Mitarbeitende[[#This Row],[Thema_Bezeichung]],EFs_Pendeln[],7,FALSE)*VLOOKUP(Pendeln_Mitarbeitende[[#This Row],[Thema_Bezeichung]],EFs_Pendeln[],9,FALSE)/Pendeln_Mitarbeitende[[#This Row],[PKW-Auslastung:
Personenzahl/ PKW
(optionale Angabe)]]),""),IF(Pendeln_Mitarbeitende[[#This Row],[PKW - Auslastung angegeben?]]=FALSE,IFERROR(VLOOKUP(Pendeln_Mitarbeitende[[#This Row],[Thema_Bezeichung]],EFs_Pendeln[],7,FALSE),""),""))</f>
        <v/>
      </c>
      <c r="T181" s="15" t="str">
        <f>IFERROR(VLOOKUP(Pendeln_Mitarbeitende[[#This Row],[Thema_Bezeichung]],EFs_Pendeln[],8,FALSE),"")</f>
        <v/>
      </c>
      <c r="U181" s="15" t="str">
        <f>IFERROR(Pendeln_Mitarbeitende[[#This Row],[Wert 
(Zahl)]]*Pendeln_Mitarbeitende[[#This Row],[EF Scope 1 CO2e
(kg CO2e/Einheit)]],"")</f>
        <v/>
      </c>
      <c r="V181" s="15" t="str">
        <f>IFERROR(Pendeln_Mitarbeitende[[#This Row],[Wert 
(Zahl)]]*Pendeln_Mitarbeitende[[#This Row],[EF Scope 2 CO2e
(kg CO2e/Einheit)]],"")</f>
        <v/>
      </c>
      <c r="W181" s="15" t="str">
        <f>IFERROR(Pendeln_Mitarbeitende[[#This Row],[Wert 
(Zahl)]]*Pendeln_Mitarbeitende[[#This Row],[EF Scope 3 CO2e
(kg CO2e/Einheit)]],"")</f>
        <v/>
      </c>
      <c r="X181" s="15" t="str">
        <f>IFERROR(Pendeln_Mitarbeitende[[#This Row],[Wert 
(Zahl)]]*Pendeln_Mitarbeitende[[#This Row],[Scope 3 EF Nicht-CO2-Effekte '[kg CO2e/Einheit']]],"")</f>
        <v/>
      </c>
      <c r="AS181"/>
      <c r="AT181"/>
      <c r="AU181"/>
      <c r="AV181"/>
      <c r="AW181"/>
      <c r="AX181"/>
      <c r="AY181"/>
      <c r="AZ181"/>
      <c r="BA181"/>
      <c r="BB181"/>
      <c r="BC181"/>
      <c r="BD181"/>
      <c r="BE181"/>
      <c r="BF181"/>
      <c r="BG181"/>
      <c r="BH181"/>
      <c r="BI181"/>
      <c r="BJ181"/>
      <c r="BK181"/>
      <c r="BL181"/>
      <c r="BM181"/>
      <c r="BN181"/>
      <c r="BO181"/>
      <c r="BP181"/>
      <c r="BQ181"/>
      <c r="BR181"/>
      <c r="BS181"/>
      <c r="BT181"/>
    </row>
    <row r="182" spans="2:72" s="89" customFormat="1" x14ac:dyDescent="0.35">
      <c r="B182" s="604"/>
      <c r="C182" s="90" t="str">
        <f t="shared" si="5"/>
        <v>Pendeln_Mitarbeitende</v>
      </c>
      <c r="D182" s="90"/>
      <c r="E182" s="90"/>
      <c r="F182" s="288"/>
      <c r="G182" s="90" t="str">
        <f>IFERROR(VLOOKUP(Pendeln_Mitarbeitende[[#This Row],[Thema_Bezeichung]],EFs_Pendeln[],4,FALSE),"")</f>
        <v/>
      </c>
      <c r="H182" s="90"/>
      <c r="I182" s="90"/>
      <c r="J182" s="90"/>
      <c r="K182" s="90"/>
      <c r="L182" s="290" t="str">
        <f>IF(ISBLANK(Pendeln_Mitarbeitende[[#This Row],[Wert 
(Zahl)]]),"", SUM(Pendeln_Mitarbeitende[[#This Row],[Scope 1 CO2e '[kg CO2e']]:[Scope 3 CO2e '[kg CO2e']]]))</f>
        <v/>
      </c>
      <c r="M182" s="409"/>
      <c r="N182" s="409"/>
      <c r="O182" s="94" t="str">
        <f>IF(ISBLANK(Pendeln_Mitarbeitende[[#This Row],[Emissionsquelle/Aktivität (Dropdown)]]),"",CONCATENATE(Pendeln_Mitarbeitende[[#This Row],[Sektor_Thema]]," - ",Pendeln_Mitarbeitende[[#This Row],[Emissionsquelle/Aktivität (Dropdown)]]))</f>
        <v/>
      </c>
      <c r="P182" s="94" t="str">
        <f>IF(ISBLANK(Pendeln_Mitarbeitende[[#This Row],[Emissionsquelle/Aktivität (Dropdown)]]),"",AND(ISNUMBER(SEARCH("PKW",Pendeln_Mitarbeitende[[#This Row],[Emissionsquelle/Aktivität (Dropdown)]])),ISNUMBER(Pendeln_Mitarbeitende[[#This Row],[PKW-Auslastung:
Personenzahl/ PKW
(optionale Angabe)]])))</f>
        <v/>
      </c>
      <c r="Q182" s="94" t="str">
        <f>IFERROR(VLOOKUP(Pendeln_Mitarbeitende[[#This Row],[Thema_Bezeichung]],EFs_Pendeln[],5,FALSE),"")</f>
        <v/>
      </c>
      <c r="R182" s="94" t="str">
        <f>IFERROR(VLOOKUP(Pendeln_Mitarbeitende[[#This Row],[Thema_Bezeichung]],EFs_Pendeln[],6,FALSE),"")</f>
        <v/>
      </c>
      <c r="S182" s="94" t="str">
        <f>IF(Pendeln_Mitarbeitende[[#This Row],[PKW - Auslastung angegeben?]]=TRUE,IFERROR((VLOOKUP(Pendeln_Mitarbeitende[[#This Row],[Thema_Bezeichung]],EFs_Pendeln[],7,FALSE)*VLOOKUP(Pendeln_Mitarbeitende[[#This Row],[Thema_Bezeichung]],EFs_Pendeln[],9,FALSE)/Pendeln_Mitarbeitende[[#This Row],[PKW-Auslastung:
Personenzahl/ PKW
(optionale Angabe)]]),""),IF(Pendeln_Mitarbeitende[[#This Row],[PKW - Auslastung angegeben?]]=FALSE,IFERROR(VLOOKUP(Pendeln_Mitarbeitende[[#This Row],[Thema_Bezeichung]],EFs_Pendeln[],7,FALSE),""),""))</f>
        <v/>
      </c>
      <c r="T182" s="94" t="str">
        <f>IFERROR(VLOOKUP(Pendeln_Mitarbeitende[[#This Row],[Thema_Bezeichung]],EFs_Pendeln[],8,FALSE),"")</f>
        <v/>
      </c>
      <c r="U182" s="94" t="str">
        <f>IFERROR(Pendeln_Mitarbeitende[[#This Row],[Wert 
(Zahl)]]*Pendeln_Mitarbeitende[[#This Row],[EF Scope 1 CO2e
(kg CO2e/Einheit)]],"")</f>
        <v/>
      </c>
      <c r="V182" s="94" t="str">
        <f>IFERROR(Pendeln_Mitarbeitende[[#This Row],[Wert 
(Zahl)]]*Pendeln_Mitarbeitende[[#This Row],[EF Scope 2 CO2e
(kg CO2e/Einheit)]],"")</f>
        <v/>
      </c>
      <c r="W182" s="94" t="str">
        <f>IFERROR(Pendeln_Mitarbeitende[[#This Row],[Wert 
(Zahl)]]*Pendeln_Mitarbeitende[[#This Row],[EF Scope 3 CO2e
(kg CO2e/Einheit)]],"")</f>
        <v/>
      </c>
      <c r="X182" s="94" t="str">
        <f>IFERROR(Pendeln_Mitarbeitende[[#This Row],[Wert 
(Zahl)]]*Pendeln_Mitarbeitende[[#This Row],[Scope 3 EF Nicht-CO2-Effekte '[kg CO2e/Einheit']]],"")</f>
        <v/>
      </c>
      <c r="AS182"/>
      <c r="AT182"/>
      <c r="AU182"/>
      <c r="AV182"/>
      <c r="AW182"/>
      <c r="AX182"/>
      <c r="AY182"/>
      <c r="AZ182"/>
      <c r="BA182"/>
      <c r="BB182"/>
      <c r="BC182"/>
      <c r="BD182"/>
      <c r="BE182"/>
      <c r="BF182"/>
      <c r="BG182"/>
      <c r="BH182"/>
      <c r="BI182"/>
      <c r="BJ182"/>
      <c r="BK182"/>
      <c r="BL182"/>
      <c r="BM182"/>
      <c r="BN182"/>
      <c r="BO182"/>
      <c r="BP182"/>
      <c r="BQ182"/>
      <c r="BR182"/>
      <c r="BS182"/>
      <c r="BT182"/>
    </row>
    <row r="183" spans="2:72" s="89" customFormat="1" ht="15" thickBot="1" x14ac:dyDescent="0.4">
      <c r="B183" s="605"/>
      <c r="C183" s="90" t="str">
        <f t="shared" si="5"/>
        <v>Pendeln_Mitarbeitende</v>
      </c>
      <c r="D183" s="90"/>
      <c r="E183" s="90"/>
      <c r="F183" s="288"/>
      <c r="G183" s="90" t="str">
        <f>IFERROR(VLOOKUP(Pendeln_Mitarbeitende[[#This Row],[Thema_Bezeichung]],EFs_Pendeln[],4,FALSE),"")</f>
        <v/>
      </c>
      <c r="H183" s="90"/>
      <c r="I183" s="90"/>
      <c r="J183" s="90"/>
      <c r="K183" s="90"/>
      <c r="L183" s="290" t="str">
        <f>IF(ISBLANK(Pendeln_Mitarbeitende[[#This Row],[Wert 
(Zahl)]]),"", SUM(Pendeln_Mitarbeitende[[#This Row],[Scope 1 CO2e '[kg CO2e']]:[Scope 3 CO2e '[kg CO2e']]]))</f>
        <v/>
      </c>
      <c r="M183" s="409"/>
      <c r="N183" s="409"/>
      <c r="O183" s="94" t="str">
        <f>IF(ISBLANK(Pendeln_Mitarbeitende[[#This Row],[Emissionsquelle/Aktivität (Dropdown)]]),"",CONCATENATE(Pendeln_Mitarbeitende[[#This Row],[Sektor_Thema]]," - ",Pendeln_Mitarbeitende[[#This Row],[Emissionsquelle/Aktivität (Dropdown)]]))</f>
        <v/>
      </c>
      <c r="P183" s="94" t="str">
        <f>IF(ISBLANK(Pendeln_Mitarbeitende[[#This Row],[Emissionsquelle/Aktivität (Dropdown)]]),"",AND(ISNUMBER(SEARCH("PKW",Pendeln_Mitarbeitende[[#This Row],[Emissionsquelle/Aktivität (Dropdown)]])),ISNUMBER(Pendeln_Mitarbeitende[[#This Row],[PKW-Auslastung:
Personenzahl/ PKW
(optionale Angabe)]])))</f>
        <v/>
      </c>
      <c r="Q183" s="94" t="str">
        <f>IFERROR(VLOOKUP(Pendeln_Mitarbeitende[[#This Row],[Thema_Bezeichung]],EFs_Pendeln[],5,FALSE),"")</f>
        <v/>
      </c>
      <c r="R183" s="94" t="str">
        <f>IFERROR(VLOOKUP(Pendeln_Mitarbeitende[[#This Row],[Thema_Bezeichung]],EFs_Pendeln[],6,FALSE),"")</f>
        <v/>
      </c>
      <c r="S183" s="94" t="str">
        <f>IF(Pendeln_Mitarbeitende[[#This Row],[PKW - Auslastung angegeben?]]=TRUE,IFERROR((VLOOKUP(Pendeln_Mitarbeitende[[#This Row],[Thema_Bezeichung]],EFs_Pendeln[],7,FALSE)*VLOOKUP(Pendeln_Mitarbeitende[[#This Row],[Thema_Bezeichung]],EFs_Pendeln[],9,FALSE)/Pendeln_Mitarbeitende[[#This Row],[PKW-Auslastung:
Personenzahl/ PKW
(optionale Angabe)]]),""),IF(Pendeln_Mitarbeitende[[#This Row],[PKW - Auslastung angegeben?]]=FALSE,IFERROR(VLOOKUP(Pendeln_Mitarbeitende[[#This Row],[Thema_Bezeichung]],EFs_Pendeln[],7,FALSE),""),""))</f>
        <v/>
      </c>
      <c r="T183" s="94" t="str">
        <f>IFERROR(VLOOKUP(Pendeln_Mitarbeitende[[#This Row],[Thema_Bezeichung]],EFs_Pendeln[],8,FALSE),"")</f>
        <v/>
      </c>
      <c r="U183" s="94" t="str">
        <f>IFERROR(Pendeln_Mitarbeitende[[#This Row],[Wert 
(Zahl)]]*Pendeln_Mitarbeitende[[#This Row],[EF Scope 1 CO2e
(kg CO2e/Einheit)]],"")</f>
        <v/>
      </c>
      <c r="V183" s="94" t="str">
        <f>IFERROR(Pendeln_Mitarbeitende[[#This Row],[Wert 
(Zahl)]]*Pendeln_Mitarbeitende[[#This Row],[EF Scope 2 CO2e
(kg CO2e/Einheit)]],"")</f>
        <v/>
      </c>
      <c r="W183" s="94" t="str">
        <f>IFERROR(Pendeln_Mitarbeitende[[#This Row],[Wert 
(Zahl)]]*Pendeln_Mitarbeitende[[#This Row],[EF Scope 3 CO2e
(kg CO2e/Einheit)]],"")</f>
        <v/>
      </c>
      <c r="X183" s="94" t="str">
        <f>IFERROR(Pendeln_Mitarbeitende[[#This Row],[Wert 
(Zahl)]]*Pendeln_Mitarbeitende[[#This Row],[Scope 3 EF Nicht-CO2-Effekte '[kg CO2e/Einheit']]],"")</f>
        <v/>
      </c>
      <c r="AS183"/>
      <c r="AT183"/>
      <c r="AU183"/>
      <c r="AV183"/>
      <c r="AW183"/>
      <c r="AX183"/>
      <c r="AY183"/>
      <c r="AZ183"/>
      <c r="BA183"/>
      <c r="BB183"/>
      <c r="BC183"/>
      <c r="BD183"/>
      <c r="BE183"/>
      <c r="BF183"/>
      <c r="BG183"/>
      <c r="BH183"/>
      <c r="BI183"/>
      <c r="BJ183"/>
      <c r="BK183"/>
      <c r="BL183"/>
      <c r="BM183"/>
      <c r="BN183"/>
      <c r="BO183"/>
      <c r="BP183"/>
      <c r="BQ183"/>
      <c r="BR183"/>
      <c r="BS183"/>
      <c r="BT183"/>
    </row>
    <row r="184" spans="2:72" s="3" customFormat="1" ht="15" thickTop="1" x14ac:dyDescent="0.35">
      <c r="B184" s="13"/>
      <c r="C184" s="2"/>
      <c r="D184" s="2" t="s">
        <v>204</v>
      </c>
      <c r="E184" s="2"/>
      <c r="F184" s="2"/>
      <c r="G184" s="2"/>
      <c r="H184" s="2"/>
      <c r="I184" s="2"/>
      <c r="J184" s="2"/>
      <c r="K184" s="2"/>
      <c r="L184" s="291">
        <f>SUBTOTAL(109,Pendeln_Mitarbeitende[Ergebnis '[kg CO2e'] (vorausgefüllt)])</f>
        <v>0</v>
      </c>
      <c r="M184" s="162"/>
      <c r="N184" s="162"/>
      <c r="O184" s="2"/>
      <c r="P184" s="2"/>
      <c r="Q184" s="2"/>
      <c r="R184" s="2"/>
      <c r="S184" s="2"/>
      <c r="T184" s="2"/>
      <c r="U184" s="2">
        <f>SUBTOTAL(109,Pendeln_Mitarbeitende[Scope 1 CO2e '[kg CO2e']])</f>
        <v>0</v>
      </c>
      <c r="V184" s="2">
        <f>SUBTOTAL(109,Pendeln_Mitarbeitende[Scope 2 CO2e '[kg CO2e']])</f>
        <v>0</v>
      </c>
      <c r="W184" s="2">
        <f>SUBTOTAL(109,Pendeln_Mitarbeitende[Scope 3 CO2e '[kg CO2e']])</f>
        <v>0</v>
      </c>
      <c r="X184" s="2">
        <f>SUBTOTAL(109,Pendeln_Mitarbeitende[Scope 3 Ergebnis Nicht-CO2 '[kg CO2e']])</f>
        <v>0</v>
      </c>
      <c r="AS184"/>
      <c r="AT184"/>
      <c r="AU184"/>
      <c r="AV184"/>
      <c r="AW184"/>
      <c r="AX184"/>
      <c r="AY184"/>
      <c r="AZ184"/>
      <c r="BA184"/>
      <c r="BB184"/>
      <c r="BC184"/>
      <c r="BD184"/>
      <c r="BE184"/>
      <c r="BF184"/>
      <c r="BG184"/>
      <c r="BH184"/>
      <c r="BI184"/>
      <c r="BJ184"/>
      <c r="BK184"/>
      <c r="BL184"/>
      <c r="BM184"/>
      <c r="BN184"/>
      <c r="BO184"/>
      <c r="BP184"/>
      <c r="BQ184"/>
      <c r="BR184"/>
      <c r="BS184"/>
      <c r="BT184"/>
    </row>
    <row r="185" spans="2:72" s="1" customFormat="1" ht="120" customHeight="1" x14ac:dyDescent="0.35">
      <c r="B185" s="183" t="s">
        <v>79</v>
      </c>
      <c r="C185" s="81"/>
      <c r="D185" s="80"/>
      <c r="E185"/>
      <c r="F185"/>
      <c r="G185"/>
      <c r="H185"/>
      <c r="I185"/>
      <c r="J185"/>
      <c r="K185"/>
      <c r="L185" s="161"/>
      <c r="M185"/>
      <c r="N185"/>
      <c r="O185"/>
      <c r="P185"/>
      <c r="Q185"/>
      <c r="R185"/>
      <c r="S185"/>
      <c r="T185"/>
      <c r="U185"/>
      <c r="V185"/>
    </row>
    <row r="186" spans="2:72" x14ac:dyDescent="0.35">
      <c r="B186" s="127" t="s">
        <v>80</v>
      </c>
      <c r="L186" s="161"/>
      <c r="AP186" s="89"/>
      <c r="AQ186" s="89"/>
      <c r="AR186" s="89"/>
      <c r="AS186" s="89"/>
      <c r="AT186" s="89"/>
      <c r="AU186" s="89"/>
      <c r="AV186" s="89"/>
      <c r="AW186" s="89"/>
      <c r="AX186" s="89"/>
      <c r="AY186" s="89"/>
      <c r="AZ186" s="89"/>
      <c r="BA186" s="89"/>
      <c r="BB186" s="89"/>
      <c r="BC186" s="89"/>
      <c r="BD186" s="89"/>
      <c r="BE186" s="89"/>
      <c r="BF186" s="89"/>
      <c r="BG186" s="89"/>
      <c r="BH186" s="89"/>
      <c r="BI186" s="89"/>
      <c r="BJ186" s="89"/>
      <c r="BK186" s="89"/>
      <c r="BL186" s="89"/>
      <c r="BM186" s="89"/>
      <c r="BN186" s="89"/>
      <c r="BO186" s="89"/>
      <c r="BP186" s="89"/>
      <c r="BQ186" s="89"/>
    </row>
    <row r="187" spans="2:72" ht="18.5" x14ac:dyDescent="0.45">
      <c r="B187" s="126" t="s">
        <v>129</v>
      </c>
      <c r="L187" s="161"/>
      <c r="AP187" s="89"/>
      <c r="AQ187" s="89"/>
      <c r="AR187" s="89"/>
      <c r="AS187" s="89"/>
      <c r="AT187" s="89"/>
      <c r="AU187" s="89"/>
      <c r="AV187" s="89"/>
      <c r="AW187" s="89"/>
      <c r="AX187" s="89"/>
      <c r="AY187" s="89"/>
      <c r="AZ187" s="89"/>
      <c r="BA187" s="89"/>
      <c r="BB187" s="89"/>
      <c r="BC187" s="89"/>
      <c r="BD187" s="89"/>
      <c r="BE187" s="89"/>
      <c r="BF187" s="89"/>
      <c r="BG187" s="89"/>
      <c r="BH187" s="89"/>
      <c r="BI187" s="89"/>
      <c r="BJ187" s="89"/>
      <c r="BK187" s="89"/>
      <c r="BL187" s="89"/>
      <c r="BM187" s="89"/>
      <c r="BN187" s="89"/>
      <c r="BO187" s="89"/>
      <c r="BP187" s="89"/>
      <c r="BQ187" s="89"/>
    </row>
    <row r="188" spans="2:72" ht="108.5" customHeight="1" x14ac:dyDescent="0.35">
      <c r="B188" s="273" t="s">
        <v>81</v>
      </c>
      <c r="C188" s="275"/>
      <c r="D188" s="601" t="s">
        <v>619</v>
      </c>
      <c r="E188" s="601"/>
      <c r="F188" s="601"/>
      <c r="G188" s="601"/>
      <c r="H188" s="601"/>
      <c r="I188" s="602"/>
      <c r="L188" s="478"/>
      <c r="M188" s="478" t="s">
        <v>604</v>
      </c>
      <c r="AP188" s="89"/>
      <c r="AQ188" s="89"/>
      <c r="AR188" s="89"/>
      <c r="AS188" s="89"/>
      <c r="AT188" s="89"/>
      <c r="AU188" s="89"/>
      <c r="AV188" s="89"/>
      <c r="AW188" s="89"/>
      <c r="AX188" s="89"/>
      <c r="AY188" s="89"/>
      <c r="AZ188" s="89"/>
      <c r="BA188" s="89"/>
      <c r="BB188" s="89"/>
      <c r="BC188" s="89"/>
      <c r="BD188" s="89"/>
      <c r="BE188" s="89"/>
      <c r="BF188" s="89"/>
      <c r="BG188" s="89"/>
      <c r="BH188" s="89"/>
      <c r="BI188" s="89"/>
      <c r="BJ188" s="89"/>
      <c r="BK188" s="89"/>
      <c r="BL188" s="89"/>
      <c r="BM188" s="89"/>
      <c r="BN188" s="89"/>
      <c r="BO188" s="89"/>
      <c r="BP188" s="89"/>
      <c r="BQ188" s="89"/>
    </row>
    <row r="189" spans="2:72" ht="14" customHeight="1" x14ac:dyDescent="0.45">
      <c r="C189" t="s">
        <v>129</v>
      </c>
      <c r="L189" s="479"/>
      <c r="M189" s="479" t="s">
        <v>603</v>
      </c>
      <c r="AP189" s="89"/>
      <c r="AQ189" s="89"/>
      <c r="AR189" s="89"/>
      <c r="AS189" s="89"/>
      <c r="AT189" s="89"/>
      <c r="AU189" s="89"/>
      <c r="AV189" s="89"/>
      <c r="AW189" s="89"/>
      <c r="AX189" s="89"/>
      <c r="AY189" s="89"/>
      <c r="AZ189" s="89"/>
      <c r="BA189" s="89"/>
      <c r="BB189" s="89"/>
      <c r="BC189" s="89"/>
      <c r="BD189" s="89"/>
      <c r="BE189" s="89"/>
      <c r="BF189" s="89"/>
      <c r="BG189" s="89"/>
      <c r="BH189" s="89"/>
      <c r="BI189" s="89"/>
      <c r="BJ189" s="89"/>
      <c r="BK189" s="89"/>
      <c r="BL189" s="89"/>
      <c r="BM189" s="89"/>
      <c r="BN189" s="89"/>
      <c r="BO189" s="89"/>
      <c r="BP189" s="89"/>
      <c r="BQ189" s="89"/>
    </row>
    <row r="190" spans="2:72" ht="48" thickBot="1" x14ac:dyDescent="0.4">
      <c r="B190" s="10"/>
      <c r="C190" s="23" t="s">
        <v>46</v>
      </c>
      <c r="D190" s="151" t="s">
        <v>192</v>
      </c>
      <c r="E190" s="151" t="s">
        <v>65</v>
      </c>
      <c r="F190" s="151" t="s">
        <v>66</v>
      </c>
      <c r="G190" s="97" t="s">
        <v>78</v>
      </c>
      <c r="H190" s="151" t="s">
        <v>120</v>
      </c>
      <c r="I190" s="151" t="s">
        <v>531</v>
      </c>
      <c r="J190" s="97" t="s">
        <v>74</v>
      </c>
      <c r="K190" s="97" t="s">
        <v>75</v>
      </c>
      <c r="L190" s="156" t="s">
        <v>219</v>
      </c>
      <c r="M190" s="434" t="s">
        <v>576</v>
      </c>
      <c r="N190" s="407" t="s">
        <v>424</v>
      </c>
      <c r="O190" s="97" t="s">
        <v>217</v>
      </c>
      <c r="P190" s="97" t="s">
        <v>492</v>
      </c>
      <c r="Q190" s="432" t="s">
        <v>485</v>
      </c>
      <c r="R190" s="432" t="s">
        <v>486</v>
      </c>
      <c r="S190" s="432" t="s">
        <v>487</v>
      </c>
      <c r="T190" s="442" t="s">
        <v>432</v>
      </c>
      <c r="U190" s="134" t="s">
        <v>493</v>
      </c>
      <c r="V190" s="134" t="s">
        <v>527</v>
      </c>
      <c r="W190" s="134" t="s">
        <v>528</v>
      </c>
      <c r="X190" s="441" t="s">
        <v>434</v>
      </c>
      <c r="AS190" s="89"/>
      <c r="AT190" s="89"/>
      <c r="AU190" s="89"/>
      <c r="AV190" s="89"/>
      <c r="AW190" s="89"/>
      <c r="AX190" s="89"/>
      <c r="AY190" s="89"/>
      <c r="AZ190" s="89"/>
      <c r="BA190" s="89"/>
      <c r="BB190" s="89"/>
      <c r="BC190" s="89"/>
      <c r="BD190" s="89"/>
      <c r="BE190" s="89"/>
      <c r="BF190" s="89"/>
      <c r="BG190" s="89"/>
      <c r="BH190" s="89"/>
      <c r="BI190" s="89"/>
      <c r="BJ190" s="89"/>
      <c r="BK190" s="89"/>
      <c r="BL190" s="89"/>
      <c r="BM190" s="89"/>
      <c r="BN190" s="89"/>
      <c r="BO190" s="89"/>
      <c r="BP190" s="89"/>
      <c r="BQ190" s="89"/>
      <c r="BR190" s="89"/>
      <c r="BS190" s="89"/>
      <c r="BT190" s="89"/>
    </row>
    <row r="191" spans="2:72" s="89" customFormat="1" ht="15" thickTop="1" x14ac:dyDescent="0.35">
      <c r="B191" s="603" t="s">
        <v>129</v>
      </c>
      <c r="C191" s="10" t="str">
        <f t="shared" ref="C191:C210" si="6">$C$189</f>
        <v>Externe</v>
      </c>
      <c r="D191" s="90"/>
      <c r="E191" s="90"/>
      <c r="F191" s="288"/>
      <c r="G191" s="10" t="str">
        <f>IFERROR(VLOOKUP(Externe[[#This Row],[Thema_Bezeichung]],EFs_Externe[],4,FALSE),"")</f>
        <v/>
      </c>
      <c r="H191" s="90"/>
      <c r="I191" s="90"/>
      <c r="J191" s="90"/>
      <c r="K191" s="90"/>
      <c r="L191" s="289" t="str">
        <f>IF(ISBLANK(Externe[[#This Row],[Wert 
(Zahl)]]),"", SUM(Externe[[#This Row],[Scope 1 CO2e '[kg CO2e']]:[Scope 3 CO2e '[kg CO2e']]]))</f>
        <v/>
      </c>
      <c r="M191" s="289" t="str">
        <f>IF(OR(ISBLANK(Externe[[#This Row],[Wert 
(Zahl)]]),Externe[[#This Row],[Scope 3 Ergebnis Nicht-CO2 '[kg CO2e']]]=0),"",Externe[[#This Row],[Scope 3 Ergebnis Nicht-CO2 '[kg CO2e']]])</f>
        <v/>
      </c>
      <c r="N191" s="408"/>
      <c r="O191" s="15" t="str">
        <f>IF(ISBLANK(Externe[[#This Row],[Emissionsquelle/Aktivität (Dropdown)]]),"",CONCATENATE(Externe[[#This Row],[Sektor_Thema]]," - ",Externe[[#This Row],[Emissionsquelle/Aktivität (Dropdown)]]))</f>
        <v/>
      </c>
      <c r="P191" s="15" t="str">
        <f>IF(ISBLANK(Externe[[#This Row],[Emissionsquelle/Aktivität (Dropdown)]]),"",AND(ISNUMBER(SEARCH("PKW",Externe[[#This Row],[Emissionsquelle/Aktivität (Dropdown)]])),ISNUMBER(Externe[[#This Row],[PKW-Auslastung:
Personenzahl/ PKW
(optionale Angabe)]])))</f>
        <v/>
      </c>
      <c r="Q191" s="15" t="str">
        <f>IFERROR(VLOOKUP(Externe[[#This Row],[Thema_Bezeichung]],EFs_Externe[],5,FALSE),"")</f>
        <v/>
      </c>
      <c r="R191" s="15" t="str">
        <f>IFERROR(VLOOKUP(Externe[[#This Row],[Thema_Bezeichung]],EFs_Externe[],6,FALSE),"")</f>
        <v/>
      </c>
      <c r="S191" s="15" t="str">
        <f>IF(Externe[[#This Row],[PKW - Auslastung angegeben?]]=TRUE,IFERROR((VLOOKUP(Externe[[#This Row],[Thema_Bezeichung]],EFs_Externe[],7,FALSE)*VLOOKUP(Externe[[#This Row],[Thema_Bezeichung]],EFs_Externe[],9,FALSE)/Externe[[#This Row],[PKW-Auslastung:
Personenzahl/ PKW
(optionale Angabe)]]),""),IF(Externe[[#This Row],[PKW - Auslastung angegeben?]]=FALSE,IFERROR(VLOOKUP(Externe[[#This Row],[Thema_Bezeichung]],EFs_Externe[],7,FALSE),""),""))</f>
        <v/>
      </c>
      <c r="T191" s="15" t="str">
        <f>IFERROR(VLOOKUP(Externe[[#This Row],[Thema_Bezeichung]],EFs_Externe[],8,FALSE),"")</f>
        <v/>
      </c>
      <c r="U191" s="15" t="str">
        <f>IFERROR(Externe[[#This Row],[Wert 
(Zahl)]]*Externe[[#This Row],[EF Scope 1 CO2e
(kg CO2e/Einheit)]],"")</f>
        <v/>
      </c>
      <c r="V191" s="15" t="str">
        <f>IFERROR(Externe[[#This Row],[Wert 
(Zahl)]]*Externe[[#This Row],[EF Scope 2 CO2e
(kg CO2e/Einheit)]],"")</f>
        <v/>
      </c>
      <c r="W191" s="15" t="str">
        <f>IFERROR(Externe[[#This Row],[Wert 
(Zahl)]]*Externe[[#This Row],[EF Scope 3 CO2e
(kg CO2e/Einheit)]],"")</f>
        <v/>
      </c>
      <c r="X191" s="15" t="str">
        <f>IFERROR(Externe[[#This Row],[Wert 
(Zahl)]]*Externe[[#This Row],[Scope 3 EF Nicht-CO2-Effekte '[kg CO2e/Einheit']]],"")</f>
        <v/>
      </c>
    </row>
    <row r="192" spans="2:72" s="89" customFormat="1" x14ac:dyDescent="0.35">
      <c r="B192" s="604"/>
      <c r="C192" s="10" t="str">
        <f t="shared" si="6"/>
        <v>Externe</v>
      </c>
      <c r="D192" s="90"/>
      <c r="E192" s="90"/>
      <c r="F192" s="288"/>
      <c r="G192" s="10" t="str">
        <f>IFERROR(VLOOKUP(Externe[[#This Row],[Thema_Bezeichung]],EFs_Externe[],4,FALSE),"")</f>
        <v/>
      </c>
      <c r="H192" s="90"/>
      <c r="I192" s="90"/>
      <c r="J192" s="90"/>
      <c r="K192" s="90"/>
      <c r="L192" s="289" t="str">
        <f>IF(ISBLANK(Externe[[#This Row],[Wert 
(Zahl)]]),"", SUM(Externe[[#This Row],[Scope 1 CO2e '[kg CO2e']]:[Scope 3 CO2e '[kg CO2e']]]))</f>
        <v/>
      </c>
      <c r="M192" s="289" t="str">
        <f>IF(OR(ISBLANK(Externe[[#This Row],[Wert 
(Zahl)]]),Externe[[#This Row],[Scope 3 Ergebnis Nicht-CO2 '[kg CO2e']]]=0),"",Externe[[#This Row],[Scope 3 Ergebnis Nicht-CO2 '[kg CO2e']]])</f>
        <v/>
      </c>
      <c r="N192" s="408"/>
      <c r="O192" s="15" t="str">
        <f>IF(ISBLANK(Externe[[#This Row],[Emissionsquelle/Aktivität (Dropdown)]]),"",CONCATENATE(Externe[[#This Row],[Sektor_Thema]]," - ",Externe[[#This Row],[Emissionsquelle/Aktivität (Dropdown)]]))</f>
        <v/>
      </c>
      <c r="P192" s="15" t="str">
        <f>IF(ISBLANK(Externe[[#This Row],[Emissionsquelle/Aktivität (Dropdown)]]),"",AND(ISNUMBER(SEARCH("PKW",Externe[[#This Row],[Emissionsquelle/Aktivität (Dropdown)]])),ISNUMBER(Externe[[#This Row],[PKW-Auslastung:
Personenzahl/ PKW
(optionale Angabe)]])))</f>
        <v/>
      </c>
      <c r="Q192" s="15" t="str">
        <f>IFERROR(VLOOKUP(Externe[[#This Row],[Thema_Bezeichung]],EFs_Externe[],5,FALSE),"")</f>
        <v/>
      </c>
      <c r="R192" s="15" t="str">
        <f>IFERROR(VLOOKUP(Externe[[#This Row],[Thema_Bezeichung]],EFs_Externe[],6,FALSE),"")</f>
        <v/>
      </c>
      <c r="S192" s="15" t="str">
        <f>IF(Externe[[#This Row],[PKW - Auslastung angegeben?]]=TRUE,IFERROR((VLOOKUP(Externe[[#This Row],[Thema_Bezeichung]],EFs_Externe[],7,FALSE)*VLOOKUP(Externe[[#This Row],[Thema_Bezeichung]],EFs_Externe[],9,FALSE)/Externe[[#This Row],[PKW-Auslastung:
Personenzahl/ PKW
(optionale Angabe)]]),""),IF(Externe[[#This Row],[PKW - Auslastung angegeben?]]=FALSE,IFERROR(VLOOKUP(Externe[[#This Row],[Thema_Bezeichung]],EFs_Externe[],7,FALSE),""),""))</f>
        <v/>
      </c>
      <c r="T192" s="15" t="str">
        <f>IFERROR(VLOOKUP(Externe[[#This Row],[Thema_Bezeichung]],EFs_Externe[],8,FALSE),"")</f>
        <v/>
      </c>
      <c r="U192" s="15" t="str">
        <f>IFERROR(Externe[[#This Row],[Wert 
(Zahl)]]*Externe[[#This Row],[EF Scope 1 CO2e
(kg CO2e/Einheit)]],"")</f>
        <v/>
      </c>
      <c r="V192" s="15" t="str">
        <f>IFERROR(Externe[[#This Row],[Wert 
(Zahl)]]*Externe[[#This Row],[EF Scope 2 CO2e
(kg CO2e/Einheit)]],"")</f>
        <v/>
      </c>
      <c r="W192" s="15" t="str">
        <f>IFERROR(Externe[[#This Row],[Wert 
(Zahl)]]*Externe[[#This Row],[EF Scope 3 CO2e
(kg CO2e/Einheit)]],"")</f>
        <v/>
      </c>
      <c r="X192" s="15" t="str">
        <f>IFERROR(Externe[[#This Row],[Wert 
(Zahl)]]*Externe[[#This Row],[Scope 3 EF Nicht-CO2-Effekte '[kg CO2e/Einheit']]],"")</f>
        <v/>
      </c>
    </row>
    <row r="193" spans="2:72" s="89" customFormat="1" x14ac:dyDescent="0.35">
      <c r="B193" s="604"/>
      <c r="C193" s="10" t="str">
        <f t="shared" si="6"/>
        <v>Externe</v>
      </c>
      <c r="D193" s="90"/>
      <c r="E193" s="90"/>
      <c r="F193" s="288"/>
      <c r="G193" s="10" t="str">
        <f>IFERROR(VLOOKUP(Externe[[#This Row],[Thema_Bezeichung]],EFs_Externe[],4,FALSE),"")</f>
        <v/>
      </c>
      <c r="H193" s="90"/>
      <c r="I193" s="90"/>
      <c r="J193" s="90"/>
      <c r="K193" s="90"/>
      <c r="L193" s="289" t="str">
        <f>IF(ISBLANK(Externe[[#This Row],[Wert 
(Zahl)]]),"", SUM(Externe[[#This Row],[Scope 1 CO2e '[kg CO2e']]:[Scope 3 CO2e '[kg CO2e']]]))</f>
        <v/>
      </c>
      <c r="M193" s="289" t="str">
        <f>IF(OR(ISBLANK(Externe[[#This Row],[Wert 
(Zahl)]]),Externe[[#This Row],[Scope 3 Ergebnis Nicht-CO2 '[kg CO2e']]]=0),"",Externe[[#This Row],[Scope 3 Ergebnis Nicht-CO2 '[kg CO2e']]])</f>
        <v/>
      </c>
      <c r="N193" s="408"/>
      <c r="O193" s="15" t="str">
        <f>IF(ISBLANK(Externe[[#This Row],[Emissionsquelle/Aktivität (Dropdown)]]),"",CONCATENATE(Externe[[#This Row],[Sektor_Thema]]," - ",Externe[[#This Row],[Emissionsquelle/Aktivität (Dropdown)]]))</f>
        <v/>
      </c>
      <c r="P193" s="15" t="str">
        <f>IF(ISBLANK(Externe[[#This Row],[Emissionsquelle/Aktivität (Dropdown)]]),"",AND(ISNUMBER(SEARCH("PKW",Externe[[#This Row],[Emissionsquelle/Aktivität (Dropdown)]])),ISNUMBER(Externe[[#This Row],[PKW-Auslastung:
Personenzahl/ PKW
(optionale Angabe)]])))</f>
        <v/>
      </c>
      <c r="Q193" s="15" t="str">
        <f>IFERROR(VLOOKUP(Externe[[#This Row],[Thema_Bezeichung]],EFs_Externe[],5,FALSE),"")</f>
        <v/>
      </c>
      <c r="R193" s="15" t="str">
        <f>IFERROR(VLOOKUP(Externe[[#This Row],[Thema_Bezeichung]],EFs_Externe[],6,FALSE),"")</f>
        <v/>
      </c>
      <c r="S193" s="15" t="str">
        <f>IF(Externe[[#This Row],[PKW - Auslastung angegeben?]]=TRUE,IFERROR((VLOOKUP(Externe[[#This Row],[Thema_Bezeichung]],EFs_Externe[],7,FALSE)*VLOOKUP(Externe[[#This Row],[Thema_Bezeichung]],EFs_Externe[],9,FALSE)/Externe[[#This Row],[PKW-Auslastung:
Personenzahl/ PKW
(optionale Angabe)]]),""),IF(Externe[[#This Row],[PKW - Auslastung angegeben?]]=FALSE,IFERROR(VLOOKUP(Externe[[#This Row],[Thema_Bezeichung]],EFs_Externe[],7,FALSE),""),""))</f>
        <v/>
      </c>
      <c r="T193" s="15" t="str">
        <f>IFERROR(VLOOKUP(Externe[[#This Row],[Thema_Bezeichung]],EFs_Externe[],8,FALSE),"")</f>
        <v/>
      </c>
      <c r="U193" s="15" t="str">
        <f>IFERROR(Externe[[#This Row],[Wert 
(Zahl)]]*Externe[[#This Row],[EF Scope 1 CO2e
(kg CO2e/Einheit)]],"")</f>
        <v/>
      </c>
      <c r="V193" s="15" t="str">
        <f>IFERROR(Externe[[#This Row],[Wert 
(Zahl)]]*Externe[[#This Row],[EF Scope 2 CO2e
(kg CO2e/Einheit)]],"")</f>
        <v/>
      </c>
      <c r="W193" s="15" t="str">
        <f>IFERROR(Externe[[#This Row],[Wert 
(Zahl)]]*Externe[[#This Row],[EF Scope 3 CO2e
(kg CO2e/Einheit)]],"")</f>
        <v/>
      </c>
      <c r="X193" s="15" t="str">
        <f>IFERROR(Externe[[#This Row],[Wert 
(Zahl)]]*Externe[[#This Row],[Scope 3 EF Nicht-CO2-Effekte '[kg CO2e/Einheit']]],"")</f>
        <v/>
      </c>
    </row>
    <row r="194" spans="2:72" s="89" customFormat="1" x14ac:dyDescent="0.35">
      <c r="B194" s="604"/>
      <c r="C194" s="10" t="str">
        <f t="shared" si="6"/>
        <v>Externe</v>
      </c>
      <c r="D194" s="90"/>
      <c r="E194" s="90"/>
      <c r="F194" s="288"/>
      <c r="G194" s="10" t="str">
        <f>IFERROR(VLOOKUP(Externe[[#This Row],[Thema_Bezeichung]],EFs_Externe[],4,FALSE),"")</f>
        <v/>
      </c>
      <c r="H194" s="90"/>
      <c r="I194" s="90"/>
      <c r="J194" s="90"/>
      <c r="K194" s="90"/>
      <c r="L194" s="289" t="str">
        <f>IF(ISBLANK(Externe[[#This Row],[Wert 
(Zahl)]]),"", SUM(Externe[[#This Row],[Scope 1 CO2e '[kg CO2e']]:[Scope 3 CO2e '[kg CO2e']]]))</f>
        <v/>
      </c>
      <c r="M194" s="289" t="str">
        <f>IF(OR(ISBLANK(Externe[[#This Row],[Wert 
(Zahl)]]),Externe[[#This Row],[Scope 3 Ergebnis Nicht-CO2 '[kg CO2e']]]=0),"",Externe[[#This Row],[Scope 3 Ergebnis Nicht-CO2 '[kg CO2e']]])</f>
        <v/>
      </c>
      <c r="N194" s="408"/>
      <c r="O194" s="15" t="str">
        <f>IF(ISBLANK(Externe[[#This Row],[Emissionsquelle/Aktivität (Dropdown)]]),"",CONCATENATE(Externe[[#This Row],[Sektor_Thema]]," - ",Externe[[#This Row],[Emissionsquelle/Aktivität (Dropdown)]]))</f>
        <v/>
      </c>
      <c r="P194" s="15" t="str">
        <f>IF(ISBLANK(Externe[[#This Row],[Emissionsquelle/Aktivität (Dropdown)]]),"",AND(ISNUMBER(SEARCH("PKW",Externe[[#This Row],[Emissionsquelle/Aktivität (Dropdown)]])),ISNUMBER(Externe[[#This Row],[PKW-Auslastung:
Personenzahl/ PKW
(optionale Angabe)]])))</f>
        <v/>
      </c>
      <c r="Q194" s="15" t="str">
        <f>IFERROR(VLOOKUP(Externe[[#This Row],[Thema_Bezeichung]],EFs_Externe[],5,FALSE),"")</f>
        <v/>
      </c>
      <c r="R194" s="15" t="str">
        <f>IFERROR(VLOOKUP(Externe[[#This Row],[Thema_Bezeichung]],EFs_Externe[],6,FALSE),"")</f>
        <v/>
      </c>
      <c r="S194" s="15" t="str">
        <f>IF(Externe[[#This Row],[PKW - Auslastung angegeben?]]=TRUE,IFERROR((VLOOKUP(Externe[[#This Row],[Thema_Bezeichung]],EFs_Externe[],7,FALSE)*VLOOKUP(Externe[[#This Row],[Thema_Bezeichung]],EFs_Externe[],9,FALSE)/Externe[[#This Row],[PKW-Auslastung:
Personenzahl/ PKW
(optionale Angabe)]]),""),IF(Externe[[#This Row],[PKW - Auslastung angegeben?]]=FALSE,IFERROR(VLOOKUP(Externe[[#This Row],[Thema_Bezeichung]],EFs_Externe[],7,FALSE),""),""))</f>
        <v/>
      </c>
      <c r="T194" s="15" t="str">
        <f>IFERROR(VLOOKUP(Externe[[#This Row],[Thema_Bezeichung]],EFs_Externe[],8,FALSE),"")</f>
        <v/>
      </c>
      <c r="U194" s="15" t="str">
        <f>IFERROR(Externe[[#This Row],[Wert 
(Zahl)]]*Externe[[#This Row],[EF Scope 1 CO2e
(kg CO2e/Einheit)]],"")</f>
        <v/>
      </c>
      <c r="V194" s="15" t="str">
        <f>IFERROR(Externe[[#This Row],[Wert 
(Zahl)]]*Externe[[#This Row],[EF Scope 2 CO2e
(kg CO2e/Einheit)]],"")</f>
        <v/>
      </c>
      <c r="W194" s="15" t="str">
        <f>IFERROR(Externe[[#This Row],[Wert 
(Zahl)]]*Externe[[#This Row],[EF Scope 3 CO2e
(kg CO2e/Einheit)]],"")</f>
        <v/>
      </c>
      <c r="X194" s="15" t="str">
        <f>IFERROR(Externe[[#This Row],[Wert 
(Zahl)]]*Externe[[#This Row],[Scope 3 EF Nicht-CO2-Effekte '[kg CO2e/Einheit']]],"")</f>
        <v/>
      </c>
    </row>
    <row r="195" spans="2:72" s="89" customFormat="1" x14ac:dyDescent="0.35">
      <c r="B195" s="604"/>
      <c r="C195" s="10" t="str">
        <f t="shared" si="6"/>
        <v>Externe</v>
      </c>
      <c r="D195" s="90"/>
      <c r="E195" s="90"/>
      <c r="F195" s="288"/>
      <c r="G195" s="10" t="str">
        <f>IFERROR(VLOOKUP(Externe[[#This Row],[Thema_Bezeichung]],EFs_Externe[],4,FALSE),"")</f>
        <v/>
      </c>
      <c r="H195" s="90"/>
      <c r="I195" s="90"/>
      <c r="J195" s="90"/>
      <c r="K195" s="90"/>
      <c r="L195" s="289" t="str">
        <f>IF(ISBLANK(Externe[[#This Row],[Wert 
(Zahl)]]),"", SUM(Externe[[#This Row],[Scope 1 CO2e '[kg CO2e']]:[Scope 3 CO2e '[kg CO2e']]]))</f>
        <v/>
      </c>
      <c r="M195" s="289" t="str">
        <f>IF(OR(ISBLANK(Externe[[#This Row],[Wert 
(Zahl)]]),Externe[[#This Row],[Scope 3 Ergebnis Nicht-CO2 '[kg CO2e']]]=0),"",Externe[[#This Row],[Scope 3 Ergebnis Nicht-CO2 '[kg CO2e']]])</f>
        <v/>
      </c>
      <c r="N195" s="408"/>
      <c r="O195" s="15" t="str">
        <f>IF(ISBLANK(Externe[[#This Row],[Emissionsquelle/Aktivität (Dropdown)]]),"",CONCATENATE(Externe[[#This Row],[Sektor_Thema]]," - ",Externe[[#This Row],[Emissionsquelle/Aktivität (Dropdown)]]))</f>
        <v/>
      </c>
      <c r="P195" s="15" t="str">
        <f>IF(ISBLANK(Externe[[#This Row],[Emissionsquelle/Aktivität (Dropdown)]]),"",AND(ISNUMBER(SEARCH("PKW",Externe[[#This Row],[Emissionsquelle/Aktivität (Dropdown)]])),ISNUMBER(Externe[[#This Row],[PKW-Auslastung:
Personenzahl/ PKW
(optionale Angabe)]])))</f>
        <v/>
      </c>
      <c r="Q195" s="15" t="str">
        <f>IFERROR(VLOOKUP(Externe[[#This Row],[Thema_Bezeichung]],EFs_Externe[],5,FALSE),"")</f>
        <v/>
      </c>
      <c r="R195" s="15" t="str">
        <f>IFERROR(VLOOKUP(Externe[[#This Row],[Thema_Bezeichung]],EFs_Externe[],6,FALSE),"")</f>
        <v/>
      </c>
      <c r="S195" s="15" t="str">
        <f>IF(Externe[[#This Row],[PKW - Auslastung angegeben?]]=TRUE,IFERROR((VLOOKUP(Externe[[#This Row],[Thema_Bezeichung]],EFs_Externe[],7,FALSE)*VLOOKUP(Externe[[#This Row],[Thema_Bezeichung]],EFs_Externe[],9,FALSE)/Externe[[#This Row],[PKW-Auslastung:
Personenzahl/ PKW
(optionale Angabe)]]),""),IF(Externe[[#This Row],[PKW - Auslastung angegeben?]]=FALSE,IFERROR(VLOOKUP(Externe[[#This Row],[Thema_Bezeichung]],EFs_Externe[],7,FALSE),""),""))</f>
        <v/>
      </c>
      <c r="T195" s="15" t="str">
        <f>IFERROR(VLOOKUP(Externe[[#This Row],[Thema_Bezeichung]],EFs_Externe[],8,FALSE),"")</f>
        <v/>
      </c>
      <c r="U195" s="15" t="str">
        <f>IFERROR(Externe[[#This Row],[Wert 
(Zahl)]]*Externe[[#This Row],[EF Scope 1 CO2e
(kg CO2e/Einheit)]],"")</f>
        <v/>
      </c>
      <c r="V195" s="15" t="str">
        <f>IFERROR(Externe[[#This Row],[Wert 
(Zahl)]]*Externe[[#This Row],[EF Scope 2 CO2e
(kg CO2e/Einheit)]],"")</f>
        <v/>
      </c>
      <c r="W195" s="15" t="str">
        <f>IFERROR(Externe[[#This Row],[Wert 
(Zahl)]]*Externe[[#This Row],[EF Scope 3 CO2e
(kg CO2e/Einheit)]],"")</f>
        <v/>
      </c>
      <c r="X195" s="15" t="str">
        <f>IFERROR(Externe[[#This Row],[Wert 
(Zahl)]]*Externe[[#This Row],[Scope 3 EF Nicht-CO2-Effekte '[kg CO2e/Einheit']]],"")</f>
        <v/>
      </c>
    </row>
    <row r="196" spans="2:72" s="89" customFormat="1" x14ac:dyDescent="0.35">
      <c r="B196" s="604"/>
      <c r="C196" s="10" t="str">
        <f t="shared" si="6"/>
        <v>Externe</v>
      </c>
      <c r="D196" s="90"/>
      <c r="E196" s="90"/>
      <c r="F196" s="288"/>
      <c r="G196" s="10" t="str">
        <f>IFERROR(VLOOKUP(Externe[[#This Row],[Thema_Bezeichung]],EFs_Externe[],4,FALSE),"")</f>
        <v/>
      </c>
      <c r="H196" s="90"/>
      <c r="I196" s="90"/>
      <c r="J196" s="90"/>
      <c r="K196" s="90"/>
      <c r="L196" s="289" t="str">
        <f>IF(ISBLANK(Externe[[#This Row],[Wert 
(Zahl)]]),"", SUM(Externe[[#This Row],[Scope 1 CO2e '[kg CO2e']]:[Scope 3 CO2e '[kg CO2e']]]))</f>
        <v/>
      </c>
      <c r="M196" s="289" t="str">
        <f>IF(OR(ISBLANK(Externe[[#This Row],[Wert 
(Zahl)]]),Externe[[#This Row],[Scope 3 Ergebnis Nicht-CO2 '[kg CO2e']]]=0),"",Externe[[#This Row],[Scope 3 Ergebnis Nicht-CO2 '[kg CO2e']]])</f>
        <v/>
      </c>
      <c r="N196" s="408"/>
      <c r="O196" s="15" t="str">
        <f>IF(ISBLANK(Externe[[#This Row],[Emissionsquelle/Aktivität (Dropdown)]]),"",CONCATENATE(Externe[[#This Row],[Sektor_Thema]]," - ",Externe[[#This Row],[Emissionsquelle/Aktivität (Dropdown)]]))</f>
        <v/>
      </c>
      <c r="P196" s="15" t="str">
        <f>IF(ISBLANK(Externe[[#This Row],[Emissionsquelle/Aktivität (Dropdown)]]),"",AND(ISNUMBER(SEARCH("PKW",Externe[[#This Row],[Emissionsquelle/Aktivität (Dropdown)]])),ISNUMBER(Externe[[#This Row],[PKW-Auslastung:
Personenzahl/ PKW
(optionale Angabe)]])))</f>
        <v/>
      </c>
      <c r="Q196" s="15" t="str">
        <f>IFERROR(VLOOKUP(Externe[[#This Row],[Thema_Bezeichung]],EFs_Externe[],5,FALSE),"")</f>
        <v/>
      </c>
      <c r="R196" s="15" t="str">
        <f>IFERROR(VLOOKUP(Externe[[#This Row],[Thema_Bezeichung]],EFs_Externe[],6,FALSE),"")</f>
        <v/>
      </c>
      <c r="S196" s="15" t="str">
        <f>IF(Externe[[#This Row],[PKW - Auslastung angegeben?]]=TRUE,IFERROR((VLOOKUP(Externe[[#This Row],[Thema_Bezeichung]],EFs_Externe[],7,FALSE)*VLOOKUP(Externe[[#This Row],[Thema_Bezeichung]],EFs_Externe[],9,FALSE)/Externe[[#This Row],[PKW-Auslastung:
Personenzahl/ PKW
(optionale Angabe)]]),""),IF(Externe[[#This Row],[PKW - Auslastung angegeben?]]=FALSE,IFERROR(VLOOKUP(Externe[[#This Row],[Thema_Bezeichung]],EFs_Externe[],7,FALSE),""),""))</f>
        <v/>
      </c>
      <c r="T196" s="15" t="str">
        <f>IFERROR(VLOOKUP(Externe[[#This Row],[Thema_Bezeichung]],EFs_Externe[],8,FALSE),"")</f>
        <v/>
      </c>
      <c r="U196" s="15" t="str">
        <f>IFERROR(Externe[[#This Row],[Wert 
(Zahl)]]*Externe[[#This Row],[EF Scope 1 CO2e
(kg CO2e/Einheit)]],"")</f>
        <v/>
      </c>
      <c r="V196" s="15" t="str">
        <f>IFERROR(Externe[[#This Row],[Wert 
(Zahl)]]*Externe[[#This Row],[EF Scope 2 CO2e
(kg CO2e/Einheit)]],"")</f>
        <v/>
      </c>
      <c r="W196" s="15" t="str">
        <f>IFERROR(Externe[[#This Row],[Wert 
(Zahl)]]*Externe[[#This Row],[EF Scope 3 CO2e
(kg CO2e/Einheit)]],"")</f>
        <v/>
      </c>
      <c r="X196" s="15" t="str">
        <f>IFERROR(Externe[[#This Row],[Wert 
(Zahl)]]*Externe[[#This Row],[Scope 3 EF Nicht-CO2-Effekte '[kg CO2e/Einheit']]],"")</f>
        <v/>
      </c>
    </row>
    <row r="197" spans="2:72" s="89" customFormat="1" x14ac:dyDescent="0.35">
      <c r="B197" s="604"/>
      <c r="C197" s="10" t="str">
        <f t="shared" si="6"/>
        <v>Externe</v>
      </c>
      <c r="D197" s="90"/>
      <c r="E197" s="90"/>
      <c r="F197" s="288"/>
      <c r="G197" s="10" t="str">
        <f>IFERROR(VLOOKUP(Externe[[#This Row],[Thema_Bezeichung]],EFs_Externe[],4,FALSE),"")</f>
        <v/>
      </c>
      <c r="H197" s="90"/>
      <c r="I197" s="90"/>
      <c r="J197" s="90"/>
      <c r="K197" s="90"/>
      <c r="L197" s="289" t="str">
        <f>IF(ISBLANK(Externe[[#This Row],[Wert 
(Zahl)]]),"", SUM(Externe[[#This Row],[Scope 1 CO2e '[kg CO2e']]:[Scope 3 CO2e '[kg CO2e']]]))</f>
        <v/>
      </c>
      <c r="M197" s="289" t="str">
        <f>IF(OR(ISBLANK(Externe[[#This Row],[Wert 
(Zahl)]]),Externe[[#This Row],[Scope 3 Ergebnis Nicht-CO2 '[kg CO2e']]]=0),"",Externe[[#This Row],[Scope 3 Ergebnis Nicht-CO2 '[kg CO2e']]])</f>
        <v/>
      </c>
      <c r="N197" s="408"/>
      <c r="O197" s="15" t="str">
        <f>IF(ISBLANK(Externe[[#This Row],[Emissionsquelle/Aktivität (Dropdown)]]),"",CONCATENATE(Externe[[#This Row],[Sektor_Thema]]," - ",Externe[[#This Row],[Emissionsquelle/Aktivität (Dropdown)]]))</f>
        <v/>
      </c>
      <c r="P197" s="15" t="str">
        <f>IF(ISBLANK(Externe[[#This Row],[Emissionsquelle/Aktivität (Dropdown)]]),"",AND(ISNUMBER(SEARCH("PKW",Externe[[#This Row],[Emissionsquelle/Aktivität (Dropdown)]])),ISNUMBER(Externe[[#This Row],[PKW-Auslastung:
Personenzahl/ PKW
(optionale Angabe)]])))</f>
        <v/>
      </c>
      <c r="Q197" s="15" t="str">
        <f>IFERROR(VLOOKUP(Externe[[#This Row],[Thema_Bezeichung]],EFs_Externe[],5,FALSE),"")</f>
        <v/>
      </c>
      <c r="R197" s="15" t="str">
        <f>IFERROR(VLOOKUP(Externe[[#This Row],[Thema_Bezeichung]],EFs_Externe[],6,FALSE),"")</f>
        <v/>
      </c>
      <c r="S197" s="15" t="str">
        <f>IF(Externe[[#This Row],[PKW - Auslastung angegeben?]]=TRUE,IFERROR((VLOOKUP(Externe[[#This Row],[Thema_Bezeichung]],EFs_Externe[],7,FALSE)*VLOOKUP(Externe[[#This Row],[Thema_Bezeichung]],EFs_Externe[],9,FALSE)/Externe[[#This Row],[PKW-Auslastung:
Personenzahl/ PKW
(optionale Angabe)]]),""),IF(Externe[[#This Row],[PKW - Auslastung angegeben?]]=FALSE,IFERROR(VLOOKUP(Externe[[#This Row],[Thema_Bezeichung]],EFs_Externe[],7,FALSE),""),""))</f>
        <v/>
      </c>
      <c r="T197" s="15" t="str">
        <f>IFERROR(VLOOKUP(Externe[[#This Row],[Thema_Bezeichung]],EFs_Externe[],8,FALSE),"")</f>
        <v/>
      </c>
      <c r="U197" s="15" t="str">
        <f>IFERROR(Externe[[#This Row],[Wert 
(Zahl)]]*Externe[[#This Row],[EF Scope 1 CO2e
(kg CO2e/Einheit)]],"")</f>
        <v/>
      </c>
      <c r="V197" s="15" t="str">
        <f>IFERROR(Externe[[#This Row],[Wert 
(Zahl)]]*Externe[[#This Row],[EF Scope 2 CO2e
(kg CO2e/Einheit)]],"")</f>
        <v/>
      </c>
      <c r="W197" s="15" t="str">
        <f>IFERROR(Externe[[#This Row],[Wert 
(Zahl)]]*Externe[[#This Row],[EF Scope 3 CO2e
(kg CO2e/Einheit)]],"")</f>
        <v/>
      </c>
      <c r="X197" s="15" t="str">
        <f>IFERROR(Externe[[#This Row],[Wert 
(Zahl)]]*Externe[[#This Row],[Scope 3 EF Nicht-CO2-Effekte '[kg CO2e/Einheit']]],"")</f>
        <v/>
      </c>
    </row>
    <row r="198" spans="2:72" s="89" customFormat="1" x14ac:dyDescent="0.35">
      <c r="B198" s="604"/>
      <c r="C198" s="10" t="str">
        <f t="shared" si="6"/>
        <v>Externe</v>
      </c>
      <c r="D198" s="90"/>
      <c r="E198" s="90"/>
      <c r="F198" s="288"/>
      <c r="G198" s="10" t="str">
        <f>IFERROR(VLOOKUP(Externe[[#This Row],[Thema_Bezeichung]],EFs_Externe[],4,FALSE),"")</f>
        <v/>
      </c>
      <c r="H198" s="90"/>
      <c r="I198" s="90"/>
      <c r="J198" s="90"/>
      <c r="K198" s="90"/>
      <c r="L198" s="289" t="str">
        <f>IF(ISBLANK(Externe[[#This Row],[Wert 
(Zahl)]]),"", SUM(Externe[[#This Row],[Scope 1 CO2e '[kg CO2e']]:[Scope 3 CO2e '[kg CO2e']]]))</f>
        <v/>
      </c>
      <c r="M198" s="289" t="str">
        <f>IF(OR(ISBLANK(Externe[[#This Row],[Wert 
(Zahl)]]),Externe[[#This Row],[Scope 3 Ergebnis Nicht-CO2 '[kg CO2e']]]=0),"",Externe[[#This Row],[Scope 3 Ergebnis Nicht-CO2 '[kg CO2e']]])</f>
        <v/>
      </c>
      <c r="N198" s="408"/>
      <c r="O198" s="15" t="str">
        <f>IF(ISBLANK(Externe[[#This Row],[Emissionsquelle/Aktivität (Dropdown)]]),"",CONCATENATE(Externe[[#This Row],[Sektor_Thema]]," - ",Externe[[#This Row],[Emissionsquelle/Aktivität (Dropdown)]]))</f>
        <v/>
      </c>
      <c r="P198" s="15" t="str">
        <f>IF(ISBLANK(Externe[[#This Row],[Emissionsquelle/Aktivität (Dropdown)]]),"",AND(ISNUMBER(SEARCH("PKW",Externe[[#This Row],[Emissionsquelle/Aktivität (Dropdown)]])),ISNUMBER(Externe[[#This Row],[PKW-Auslastung:
Personenzahl/ PKW
(optionale Angabe)]])))</f>
        <v/>
      </c>
      <c r="Q198" s="15" t="str">
        <f>IFERROR(VLOOKUP(Externe[[#This Row],[Thema_Bezeichung]],EFs_Externe[],5,FALSE),"")</f>
        <v/>
      </c>
      <c r="R198" s="15" t="str">
        <f>IFERROR(VLOOKUP(Externe[[#This Row],[Thema_Bezeichung]],EFs_Externe[],6,FALSE),"")</f>
        <v/>
      </c>
      <c r="S198" s="15" t="str">
        <f>IF(Externe[[#This Row],[PKW - Auslastung angegeben?]]=TRUE,IFERROR((VLOOKUP(Externe[[#This Row],[Thema_Bezeichung]],EFs_Externe[],7,FALSE)*VLOOKUP(Externe[[#This Row],[Thema_Bezeichung]],EFs_Externe[],9,FALSE)/Externe[[#This Row],[PKW-Auslastung:
Personenzahl/ PKW
(optionale Angabe)]]),""),IF(Externe[[#This Row],[PKW - Auslastung angegeben?]]=FALSE,IFERROR(VLOOKUP(Externe[[#This Row],[Thema_Bezeichung]],EFs_Externe[],7,FALSE),""),""))</f>
        <v/>
      </c>
      <c r="T198" s="15" t="str">
        <f>IFERROR(VLOOKUP(Externe[[#This Row],[Thema_Bezeichung]],EFs_Externe[],8,FALSE),"")</f>
        <v/>
      </c>
      <c r="U198" s="15" t="str">
        <f>IFERROR(Externe[[#This Row],[Wert 
(Zahl)]]*Externe[[#This Row],[EF Scope 1 CO2e
(kg CO2e/Einheit)]],"")</f>
        <v/>
      </c>
      <c r="V198" s="15" t="str">
        <f>IFERROR(Externe[[#This Row],[Wert 
(Zahl)]]*Externe[[#This Row],[EF Scope 2 CO2e
(kg CO2e/Einheit)]],"")</f>
        <v/>
      </c>
      <c r="W198" s="15" t="str">
        <f>IFERROR(Externe[[#This Row],[Wert 
(Zahl)]]*Externe[[#This Row],[EF Scope 3 CO2e
(kg CO2e/Einheit)]],"")</f>
        <v/>
      </c>
      <c r="X198" s="15" t="str">
        <f>IFERROR(Externe[[#This Row],[Wert 
(Zahl)]]*Externe[[#This Row],[Scope 3 EF Nicht-CO2-Effekte '[kg CO2e/Einheit']]],"")</f>
        <v/>
      </c>
    </row>
    <row r="199" spans="2:72" s="89" customFormat="1" x14ac:dyDescent="0.35">
      <c r="B199" s="604"/>
      <c r="C199" s="10" t="str">
        <f t="shared" si="6"/>
        <v>Externe</v>
      </c>
      <c r="D199" s="90"/>
      <c r="E199" s="90"/>
      <c r="F199" s="288"/>
      <c r="G199" s="10" t="str">
        <f>IFERROR(VLOOKUP(Externe[[#This Row],[Thema_Bezeichung]],EFs_Externe[],4,FALSE),"")</f>
        <v/>
      </c>
      <c r="H199" s="90"/>
      <c r="I199" s="90"/>
      <c r="J199" s="90"/>
      <c r="K199" s="90"/>
      <c r="L199" s="289" t="str">
        <f>IF(ISBLANK(Externe[[#This Row],[Wert 
(Zahl)]]),"", SUM(Externe[[#This Row],[Scope 1 CO2e '[kg CO2e']]:[Scope 3 CO2e '[kg CO2e']]]))</f>
        <v/>
      </c>
      <c r="M199" s="289" t="str">
        <f>IF(OR(ISBLANK(Externe[[#This Row],[Wert 
(Zahl)]]),Externe[[#This Row],[Scope 3 Ergebnis Nicht-CO2 '[kg CO2e']]]=0),"",Externe[[#This Row],[Scope 3 Ergebnis Nicht-CO2 '[kg CO2e']]])</f>
        <v/>
      </c>
      <c r="N199" s="408"/>
      <c r="O199" s="15" t="str">
        <f>IF(ISBLANK(Externe[[#This Row],[Emissionsquelle/Aktivität (Dropdown)]]),"",CONCATENATE(Externe[[#This Row],[Sektor_Thema]]," - ",Externe[[#This Row],[Emissionsquelle/Aktivität (Dropdown)]]))</f>
        <v/>
      </c>
      <c r="P199" s="15" t="str">
        <f>IF(ISBLANK(Externe[[#This Row],[Emissionsquelle/Aktivität (Dropdown)]]),"",AND(ISNUMBER(SEARCH("PKW",Externe[[#This Row],[Emissionsquelle/Aktivität (Dropdown)]])),ISNUMBER(Externe[[#This Row],[PKW-Auslastung:
Personenzahl/ PKW
(optionale Angabe)]])))</f>
        <v/>
      </c>
      <c r="Q199" s="15" t="str">
        <f>IFERROR(VLOOKUP(Externe[[#This Row],[Thema_Bezeichung]],EFs_Externe[],5,FALSE),"")</f>
        <v/>
      </c>
      <c r="R199" s="15" t="str">
        <f>IFERROR(VLOOKUP(Externe[[#This Row],[Thema_Bezeichung]],EFs_Externe[],6,FALSE),"")</f>
        <v/>
      </c>
      <c r="S199" s="15" t="str">
        <f>IF(Externe[[#This Row],[PKW - Auslastung angegeben?]]=TRUE,IFERROR((VLOOKUP(Externe[[#This Row],[Thema_Bezeichung]],EFs_Externe[],7,FALSE)*VLOOKUP(Externe[[#This Row],[Thema_Bezeichung]],EFs_Externe[],9,FALSE)/Externe[[#This Row],[PKW-Auslastung:
Personenzahl/ PKW
(optionale Angabe)]]),""),IF(Externe[[#This Row],[PKW - Auslastung angegeben?]]=FALSE,IFERROR(VLOOKUP(Externe[[#This Row],[Thema_Bezeichung]],EFs_Externe[],7,FALSE),""),""))</f>
        <v/>
      </c>
      <c r="T199" s="15" t="str">
        <f>IFERROR(VLOOKUP(Externe[[#This Row],[Thema_Bezeichung]],EFs_Externe[],8,FALSE),"")</f>
        <v/>
      </c>
      <c r="U199" s="15" t="str">
        <f>IFERROR(Externe[[#This Row],[Wert 
(Zahl)]]*Externe[[#This Row],[EF Scope 1 CO2e
(kg CO2e/Einheit)]],"")</f>
        <v/>
      </c>
      <c r="V199" s="15" t="str">
        <f>IFERROR(Externe[[#This Row],[Wert 
(Zahl)]]*Externe[[#This Row],[EF Scope 2 CO2e
(kg CO2e/Einheit)]],"")</f>
        <v/>
      </c>
      <c r="W199" s="15" t="str">
        <f>IFERROR(Externe[[#This Row],[Wert 
(Zahl)]]*Externe[[#This Row],[EF Scope 3 CO2e
(kg CO2e/Einheit)]],"")</f>
        <v/>
      </c>
      <c r="X199" s="15" t="str">
        <f>IFERROR(Externe[[#This Row],[Wert 
(Zahl)]]*Externe[[#This Row],[Scope 3 EF Nicht-CO2-Effekte '[kg CO2e/Einheit']]],"")</f>
        <v/>
      </c>
    </row>
    <row r="200" spans="2:72" s="89" customFormat="1" x14ac:dyDescent="0.35">
      <c r="B200" s="604"/>
      <c r="C200" s="10" t="str">
        <f t="shared" si="6"/>
        <v>Externe</v>
      </c>
      <c r="D200" s="90"/>
      <c r="E200" s="90"/>
      <c r="F200" s="288"/>
      <c r="G200" s="10" t="str">
        <f>IFERROR(VLOOKUP(Externe[[#This Row],[Thema_Bezeichung]],EFs_Externe[],4,FALSE),"")</f>
        <v/>
      </c>
      <c r="H200" s="90"/>
      <c r="I200" s="90"/>
      <c r="J200" s="90"/>
      <c r="K200" s="90"/>
      <c r="L200" s="289" t="str">
        <f>IF(ISBLANK(Externe[[#This Row],[Wert 
(Zahl)]]),"", SUM(Externe[[#This Row],[Scope 1 CO2e '[kg CO2e']]:[Scope 3 CO2e '[kg CO2e']]]))</f>
        <v/>
      </c>
      <c r="M200" s="289" t="str">
        <f>IF(OR(ISBLANK(Externe[[#This Row],[Wert 
(Zahl)]]),Externe[[#This Row],[Scope 3 Ergebnis Nicht-CO2 '[kg CO2e']]]=0),"",Externe[[#This Row],[Scope 3 Ergebnis Nicht-CO2 '[kg CO2e']]])</f>
        <v/>
      </c>
      <c r="N200" s="408"/>
      <c r="O200" s="15" t="str">
        <f>IF(ISBLANK(Externe[[#This Row],[Emissionsquelle/Aktivität (Dropdown)]]),"",CONCATENATE(Externe[[#This Row],[Sektor_Thema]]," - ",Externe[[#This Row],[Emissionsquelle/Aktivität (Dropdown)]]))</f>
        <v/>
      </c>
      <c r="P200" s="15" t="str">
        <f>IF(ISBLANK(Externe[[#This Row],[Emissionsquelle/Aktivität (Dropdown)]]),"",AND(ISNUMBER(SEARCH("PKW",Externe[[#This Row],[Emissionsquelle/Aktivität (Dropdown)]])),ISNUMBER(Externe[[#This Row],[PKW-Auslastung:
Personenzahl/ PKW
(optionale Angabe)]])))</f>
        <v/>
      </c>
      <c r="Q200" s="15" t="str">
        <f>IFERROR(VLOOKUP(Externe[[#This Row],[Thema_Bezeichung]],EFs_Externe[],5,FALSE),"")</f>
        <v/>
      </c>
      <c r="R200" s="15" t="str">
        <f>IFERROR(VLOOKUP(Externe[[#This Row],[Thema_Bezeichung]],EFs_Externe[],6,FALSE),"")</f>
        <v/>
      </c>
      <c r="S200" s="15" t="str">
        <f>IF(Externe[[#This Row],[PKW - Auslastung angegeben?]]=TRUE,IFERROR((VLOOKUP(Externe[[#This Row],[Thema_Bezeichung]],EFs_Externe[],7,FALSE)*VLOOKUP(Externe[[#This Row],[Thema_Bezeichung]],EFs_Externe[],9,FALSE)/Externe[[#This Row],[PKW-Auslastung:
Personenzahl/ PKW
(optionale Angabe)]]),""),IF(Externe[[#This Row],[PKW - Auslastung angegeben?]]=FALSE,IFERROR(VLOOKUP(Externe[[#This Row],[Thema_Bezeichung]],EFs_Externe[],7,FALSE),""),""))</f>
        <v/>
      </c>
      <c r="T200" s="15" t="str">
        <f>IFERROR(VLOOKUP(Externe[[#This Row],[Thema_Bezeichung]],EFs_Externe[],8,FALSE),"")</f>
        <v/>
      </c>
      <c r="U200" s="15" t="str">
        <f>IFERROR(Externe[[#This Row],[Wert 
(Zahl)]]*Externe[[#This Row],[EF Scope 1 CO2e
(kg CO2e/Einheit)]],"")</f>
        <v/>
      </c>
      <c r="V200" s="15" t="str">
        <f>IFERROR(Externe[[#This Row],[Wert 
(Zahl)]]*Externe[[#This Row],[EF Scope 2 CO2e
(kg CO2e/Einheit)]],"")</f>
        <v/>
      </c>
      <c r="W200" s="15" t="str">
        <f>IFERROR(Externe[[#This Row],[Wert 
(Zahl)]]*Externe[[#This Row],[EF Scope 3 CO2e
(kg CO2e/Einheit)]],"")</f>
        <v/>
      </c>
      <c r="X200" s="15" t="str">
        <f>IFERROR(Externe[[#This Row],[Wert 
(Zahl)]]*Externe[[#This Row],[Scope 3 EF Nicht-CO2-Effekte '[kg CO2e/Einheit']]],"")</f>
        <v/>
      </c>
    </row>
    <row r="201" spans="2:72" s="89" customFormat="1" x14ac:dyDescent="0.35">
      <c r="B201" s="604"/>
      <c r="C201" s="10" t="str">
        <f t="shared" si="6"/>
        <v>Externe</v>
      </c>
      <c r="D201" s="90"/>
      <c r="E201" s="90"/>
      <c r="F201" s="288"/>
      <c r="G201" s="10" t="str">
        <f>IFERROR(VLOOKUP(Externe[[#This Row],[Thema_Bezeichung]],EFs_Externe[],4,FALSE),"")</f>
        <v/>
      </c>
      <c r="H201" s="90"/>
      <c r="I201" s="90"/>
      <c r="J201" s="90"/>
      <c r="K201" s="90"/>
      <c r="L201" s="289" t="str">
        <f>IF(ISBLANK(Externe[[#This Row],[Wert 
(Zahl)]]),"", SUM(Externe[[#This Row],[Scope 1 CO2e '[kg CO2e']]:[Scope 3 CO2e '[kg CO2e']]]))</f>
        <v/>
      </c>
      <c r="M201" s="289" t="str">
        <f>IF(OR(ISBLANK(Externe[[#This Row],[Wert 
(Zahl)]]),Externe[[#This Row],[Scope 3 Ergebnis Nicht-CO2 '[kg CO2e']]]=0),"",Externe[[#This Row],[Scope 3 Ergebnis Nicht-CO2 '[kg CO2e']]])</f>
        <v/>
      </c>
      <c r="N201" s="408"/>
      <c r="O201" s="15" t="str">
        <f>IF(ISBLANK(Externe[[#This Row],[Emissionsquelle/Aktivität (Dropdown)]]),"",CONCATENATE(Externe[[#This Row],[Sektor_Thema]]," - ",Externe[[#This Row],[Emissionsquelle/Aktivität (Dropdown)]]))</f>
        <v/>
      </c>
      <c r="P201" s="15" t="str">
        <f>IF(ISBLANK(Externe[[#This Row],[Emissionsquelle/Aktivität (Dropdown)]]),"",AND(ISNUMBER(SEARCH("PKW",Externe[[#This Row],[Emissionsquelle/Aktivität (Dropdown)]])),ISNUMBER(Externe[[#This Row],[PKW-Auslastung:
Personenzahl/ PKW
(optionale Angabe)]])))</f>
        <v/>
      </c>
      <c r="Q201" s="15" t="str">
        <f>IFERROR(VLOOKUP(Externe[[#This Row],[Thema_Bezeichung]],EFs_Externe[],5,FALSE),"")</f>
        <v/>
      </c>
      <c r="R201" s="15" t="str">
        <f>IFERROR(VLOOKUP(Externe[[#This Row],[Thema_Bezeichung]],EFs_Externe[],6,FALSE),"")</f>
        <v/>
      </c>
      <c r="S201" s="15" t="str">
        <f>IF(Externe[[#This Row],[PKW - Auslastung angegeben?]]=TRUE,IFERROR((VLOOKUP(Externe[[#This Row],[Thema_Bezeichung]],EFs_Externe[],7,FALSE)*VLOOKUP(Externe[[#This Row],[Thema_Bezeichung]],EFs_Externe[],9,FALSE)/Externe[[#This Row],[PKW-Auslastung:
Personenzahl/ PKW
(optionale Angabe)]]),""),IF(Externe[[#This Row],[PKW - Auslastung angegeben?]]=FALSE,IFERROR(VLOOKUP(Externe[[#This Row],[Thema_Bezeichung]],EFs_Externe[],7,FALSE),""),""))</f>
        <v/>
      </c>
      <c r="T201" s="15" t="str">
        <f>IFERROR(VLOOKUP(Externe[[#This Row],[Thema_Bezeichung]],EFs_Externe[],8,FALSE),"")</f>
        <v/>
      </c>
      <c r="U201" s="15" t="str">
        <f>IFERROR(Externe[[#This Row],[Wert 
(Zahl)]]*Externe[[#This Row],[EF Scope 1 CO2e
(kg CO2e/Einheit)]],"")</f>
        <v/>
      </c>
      <c r="V201" s="15" t="str">
        <f>IFERROR(Externe[[#This Row],[Wert 
(Zahl)]]*Externe[[#This Row],[EF Scope 2 CO2e
(kg CO2e/Einheit)]],"")</f>
        <v/>
      </c>
      <c r="W201" s="15" t="str">
        <f>IFERROR(Externe[[#This Row],[Wert 
(Zahl)]]*Externe[[#This Row],[EF Scope 3 CO2e
(kg CO2e/Einheit)]],"")</f>
        <v/>
      </c>
      <c r="X201" s="15" t="str">
        <f>IFERROR(Externe[[#This Row],[Wert 
(Zahl)]]*Externe[[#This Row],[Scope 3 EF Nicht-CO2-Effekte '[kg CO2e/Einheit']]],"")</f>
        <v/>
      </c>
    </row>
    <row r="202" spans="2:72" s="89" customFormat="1" x14ac:dyDescent="0.35">
      <c r="B202" s="604"/>
      <c r="C202" s="10" t="str">
        <f t="shared" si="6"/>
        <v>Externe</v>
      </c>
      <c r="D202" s="90"/>
      <c r="E202" s="90"/>
      <c r="F202" s="288"/>
      <c r="G202" s="10" t="str">
        <f>IFERROR(VLOOKUP(Externe[[#This Row],[Thema_Bezeichung]],EFs_Externe[],4,FALSE),"")</f>
        <v/>
      </c>
      <c r="H202" s="90"/>
      <c r="I202" s="90"/>
      <c r="J202" s="90"/>
      <c r="K202" s="90"/>
      <c r="L202" s="289" t="str">
        <f>IF(ISBLANK(Externe[[#This Row],[Wert 
(Zahl)]]),"", SUM(Externe[[#This Row],[Scope 1 CO2e '[kg CO2e']]:[Scope 3 CO2e '[kg CO2e']]]))</f>
        <v/>
      </c>
      <c r="M202" s="289" t="str">
        <f>IF(OR(ISBLANK(Externe[[#This Row],[Wert 
(Zahl)]]),Externe[[#This Row],[Scope 3 Ergebnis Nicht-CO2 '[kg CO2e']]]=0),"",Externe[[#This Row],[Scope 3 Ergebnis Nicht-CO2 '[kg CO2e']]])</f>
        <v/>
      </c>
      <c r="N202" s="408"/>
      <c r="O202" s="15" t="str">
        <f>IF(ISBLANK(Externe[[#This Row],[Emissionsquelle/Aktivität (Dropdown)]]),"",CONCATENATE(Externe[[#This Row],[Sektor_Thema]]," - ",Externe[[#This Row],[Emissionsquelle/Aktivität (Dropdown)]]))</f>
        <v/>
      </c>
      <c r="P202" s="15" t="str">
        <f>IF(ISBLANK(Externe[[#This Row],[Emissionsquelle/Aktivität (Dropdown)]]),"",AND(ISNUMBER(SEARCH("PKW",Externe[[#This Row],[Emissionsquelle/Aktivität (Dropdown)]])),ISNUMBER(Externe[[#This Row],[PKW-Auslastung:
Personenzahl/ PKW
(optionale Angabe)]])))</f>
        <v/>
      </c>
      <c r="Q202" s="15" t="str">
        <f>IFERROR(VLOOKUP(Externe[[#This Row],[Thema_Bezeichung]],EFs_Externe[],5,FALSE),"")</f>
        <v/>
      </c>
      <c r="R202" s="15" t="str">
        <f>IFERROR(VLOOKUP(Externe[[#This Row],[Thema_Bezeichung]],EFs_Externe[],6,FALSE),"")</f>
        <v/>
      </c>
      <c r="S202" s="15" t="str">
        <f>IF(Externe[[#This Row],[PKW - Auslastung angegeben?]]=TRUE,IFERROR((VLOOKUP(Externe[[#This Row],[Thema_Bezeichung]],EFs_Externe[],7,FALSE)*VLOOKUP(Externe[[#This Row],[Thema_Bezeichung]],EFs_Externe[],9,FALSE)/Externe[[#This Row],[PKW-Auslastung:
Personenzahl/ PKW
(optionale Angabe)]]),""),IF(Externe[[#This Row],[PKW - Auslastung angegeben?]]=FALSE,IFERROR(VLOOKUP(Externe[[#This Row],[Thema_Bezeichung]],EFs_Externe[],7,FALSE),""),""))</f>
        <v/>
      </c>
      <c r="T202" s="15" t="str">
        <f>IFERROR(VLOOKUP(Externe[[#This Row],[Thema_Bezeichung]],EFs_Externe[],8,FALSE),"")</f>
        <v/>
      </c>
      <c r="U202" s="15" t="str">
        <f>IFERROR(Externe[[#This Row],[Wert 
(Zahl)]]*Externe[[#This Row],[EF Scope 1 CO2e
(kg CO2e/Einheit)]],"")</f>
        <v/>
      </c>
      <c r="V202" s="15" t="str">
        <f>IFERROR(Externe[[#This Row],[Wert 
(Zahl)]]*Externe[[#This Row],[EF Scope 2 CO2e
(kg CO2e/Einheit)]],"")</f>
        <v/>
      </c>
      <c r="W202" s="15" t="str">
        <f>IFERROR(Externe[[#This Row],[Wert 
(Zahl)]]*Externe[[#This Row],[EF Scope 3 CO2e
(kg CO2e/Einheit)]],"")</f>
        <v/>
      </c>
      <c r="X202" s="15" t="str">
        <f>IFERROR(Externe[[#This Row],[Wert 
(Zahl)]]*Externe[[#This Row],[Scope 3 EF Nicht-CO2-Effekte '[kg CO2e/Einheit']]],"")</f>
        <v/>
      </c>
    </row>
    <row r="203" spans="2:72" s="89" customFormat="1" x14ac:dyDescent="0.35">
      <c r="B203" s="604"/>
      <c r="C203" s="10" t="str">
        <f t="shared" si="6"/>
        <v>Externe</v>
      </c>
      <c r="D203" s="90"/>
      <c r="E203" s="90"/>
      <c r="F203" s="288"/>
      <c r="G203" s="10" t="str">
        <f>IFERROR(VLOOKUP(Externe[[#This Row],[Thema_Bezeichung]],EFs_Externe[],4,FALSE),"")</f>
        <v/>
      </c>
      <c r="H203" s="90"/>
      <c r="I203" s="90"/>
      <c r="J203" s="90"/>
      <c r="K203" s="90"/>
      <c r="L203" s="289" t="str">
        <f>IF(ISBLANK(Externe[[#This Row],[Wert 
(Zahl)]]),"", SUM(Externe[[#This Row],[Scope 1 CO2e '[kg CO2e']]:[Scope 3 CO2e '[kg CO2e']]]))</f>
        <v/>
      </c>
      <c r="M203" s="289" t="str">
        <f>IF(OR(ISBLANK(Externe[[#This Row],[Wert 
(Zahl)]]),Externe[[#This Row],[Scope 3 Ergebnis Nicht-CO2 '[kg CO2e']]]=0),"",Externe[[#This Row],[Scope 3 Ergebnis Nicht-CO2 '[kg CO2e']]])</f>
        <v/>
      </c>
      <c r="N203" s="408"/>
      <c r="O203" s="15" t="str">
        <f>IF(ISBLANK(Externe[[#This Row],[Emissionsquelle/Aktivität (Dropdown)]]),"",CONCATENATE(Externe[[#This Row],[Sektor_Thema]]," - ",Externe[[#This Row],[Emissionsquelle/Aktivität (Dropdown)]]))</f>
        <v/>
      </c>
      <c r="P203" s="15" t="str">
        <f>IF(ISBLANK(Externe[[#This Row],[Emissionsquelle/Aktivität (Dropdown)]]),"",AND(ISNUMBER(SEARCH("PKW",Externe[[#This Row],[Emissionsquelle/Aktivität (Dropdown)]])),ISNUMBER(Externe[[#This Row],[PKW-Auslastung:
Personenzahl/ PKW
(optionale Angabe)]])))</f>
        <v/>
      </c>
      <c r="Q203" s="15" t="str">
        <f>IFERROR(VLOOKUP(Externe[[#This Row],[Thema_Bezeichung]],EFs_Externe[],5,FALSE),"")</f>
        <v/>
      </c>
      <c r="R203" s="15" t="str">
        <f>IFERROR(VLOOKUP(Externe[[#This Row],[Thema_Bezeichung]],EFs_Externe[],6,FALSE),"")</f>
        <v/>
      </c>
      <c r="S203" s="15" t="str">
        <f>IF(Externe[[#This Row],[PKW - Auslastung angegeben?]]=TRUE,IFERROR((VLOOKUP(Externe[[#This Row],[Thema_Bezeichung]],EFs_Externe[],7,FALSE)*VLOOKUP(Externe[[#This Row],[Thema_Bezeichung]],EFs_Externe[],9,FALSE)/Externe[[#This Row],[PKW-Auslastung:
Personenzahl/ PKW
(optionale Angabe)]]),""),IF(Externe[[#This Row],[PKW - Auslastung angegeben?]]=FALSE,IFERROR(VLOOKUP(Externe[[#This Row],[Thema_Bezeichung]],EFs_Externe[],7,FALSE),""),""))</f>
        <v/>
      </c>
      <c r="T203" s="15" t="str">
        <f>IFERROR(VLOOKUP(Externe[[#This Row],[Thema_Bezeichung]],EFs_Externe[],8,FALSE),"")</f>
        <v/>
      </c>
      <c r="U203" s="15" t="str">
        <f>IFERROR(Externe[[#This Row],[Wert 
(Zahl)]]*Externe[[#This Row],[EF Scope 1 CO2e
(kg CO2e/Einheit)]],"")</f>
        <v/>
      </c>
      <c r="V203" s="15" t="str">
        <f>IFERROR(Externe[[#This Row],[Wert 
(Zahl)]]*Externe[[#This Row],[EF Scope 2 CO2e
(kg CO2e/Einheit)]],"")</f>
        <v/>
      </c>
      <c r="W203" s="15" t="str">
        <f>IFERROR(Externe[[#This Row],[Wert 
(Zahl)]]*Externe[[#This Row],[EF Scope 3 CO2e
(kg CO2e/Einheit)]],"")</f>
        <v/>
      </c>
      <c r="X203" s="15" t="str">
        <f>IFERROR(Externe[[#This Row],[Wert 
(Zahl)]]*Externe[[#This Row],[Scope 3 EF Nicht-CO2-Effekte '[kg CO2e/Einheit']]],"")</f>
        <v/>
      </c>
    </row>
    <row r="204" spans="2:72" s="89" customFormat="1" x14ac:dyDescent="0.35">
      <c r="B204" s="604"/>
      <c r="C204" s="10" t="str">
        <f t="shared" si="6"/>
        <v>Externe</v>
      </c>
      <c r="D204" s="90"/>
      <c r="E204" s="90"/>
      <c r="F204" s="288"/>
      <c r="G204" s="10" t="str">
        <f>IFERROR(VLOOKUP(Externe[[#This Row],[Thema_Bezeichung]],EFs_Externe[],4,FALSE),"")</f>
        <v/>
      </c>
      <c r="H204" s="90"/>
      <c r="I204" s="90"/>
      <c r="J204" s="90"/>
      <c r="K204" s="90"/>
      <c r="L204" s="289" t="str">
        <f>IF(ISBLANK(Externe[[#This Row],[Wert 
(Zahl)]]),"", SUM(Externe[[#This Row],[Scope 1 CO2e '[kg CO2e']]:[Scope 3 CO2e '[kg CO2e']]]))</f>
        <v/>
      </c>
      <c r="M204" s="289" t="str">
        <f>IF(OR(ISBLANK(Externe[[#This Row],[Wert 
(Zahl)]]),Externe[[#This Row],[Scope 3 Ergebnis Nicht-CO2 '[kg CO2e']]]=0),"",Externe[[#This Row],[Scope 3 Ergebnis Nicht-CO2 '[kg CO2e']]])</f>
        <v/>
      </c>
      <c r="N204" s="408"/>
      <c r="O204" s="15" t="str">
        <f>IF(ISBLANK(Externe[[#This Row],[Emissionsquelle/Aktivität (Dropdown)]]),"",CONCATENATE(Externe[[#This Row],[Sektor_Thema]]," - ",Externe[[#This Row],[Emissionsquelle/Aktivität (Dropdown)]]))</f>
        <v/>
      </c>
      <c r="P204" s="15" t="str">
        <f>IF(ISBLANK(Externe[[#This Row],[Emissionsquelle/Aktivität (Dropdown)]]),"",AND(ISNUMBER(SEARCH("PKW",Externe[[#This Row],[Emissionsquelle/Aktivität (Dropdown)]])),ISNUMBER(Externe[[#This Row],[PKW-Auslastung:
Personenzahl/ PKW
(optionale Angabe)]])))</f>
        <v/>
      </c>
      <c r="Q204" s="15" t="str">
        <f>IFERROR(VLOOKUP(Externe[[#This Row],[Thema_Bezeichung]],EFs_Externe[],5,FALSE),"")</f>
        <v/>
      </c>
      <c r="R204" s="15" t="str">
        <f>IFERROR(VLOOKUP(Externe[[#This Row],[Thema_Bezeichung]],EFs_Externe[],6,FALSE),"")</f>
        <v/>
      </c>
      <c r="S204" s="15" t="str">
        <f>IF(Externe[[#This Row],[PKW - Auslastung angegeben?]]=TRUE,IFERROR((VLOOKUP(Externe[[#This Row],[Thema_Bezeichung]],EFs_Externe[],7,FALSE)*VLOOKUP(Externe[[#This Row],[Thema_Bezeichung]],EFs_Externe[],9,FALSE)/Externe[[#This Row],[PKW-Auslastung:
Personenzahl/ PKW
(optionale Angabe)]]),""),IF(Externe[[#This Row],[PKW - Auslastung angegeben?]]=FALSE,IFERROR(VLOOKUP(Externe[[#This Row],[Thema_Bezeichung]],EFs_Externe[],7,FALSE),""),""))</f>
        <v/>
      </c>
      <c r="T204" s="15" t="str">
        <f>IFERROR(VLOOKUP(Externe[[#This Row],[Thema_Bezeichung]],EFs_Externe[],8,FALSE),"")</f>
        <v/>
      </c>
      <c r="U204" s="15" t="str">
        <f>IFERROR(Externe[[#This Row],[Wert 
(Zahl)]]*Externe[[#This Row],[EF Scope 1 CO2e
(kg CO2e/Einheit)]],"")</f>
        <v/>
      </c>
      <c r="V204" s="15" t="str">
        <f>IFERROR(Externe[[#This Row],[Wert 
(Zahl)]]*Externe[[#This Row],[EF Scope 2 CO2e
(kg CO2e/Einheit)]],"")</f>
        <v/>
      </c>
      <c r="W204" s="15" t="str">
        <f>IFERROR(Externe[[#This Row],[Wert 
(Zahl)]]*Externe[[#This Row],[EF Scope 3 CO2e
(kg CO2e/Einheit)]],"")</f>
        <v/>
      </c>
      <c r="X204" s="15" t="str">
        <f>IFERROR(Externe[[#This Row],[Wert 
(Zahl)]]*Externe[[#This Row],[Scope 3 EF Nicht-CO2-Effekte '[kg CO2e/Einheit']]],"")</f>
        <v/>
      </c>
    </row>
    <row r="205" spans="2:72" s="89" customFormat="1" x14ac:dyDescent="0.35">
      <c r="B205" s="604"/>
      <c r="C205" s="10" t="str">
        <f t="shared" si="6"/>
        <v>Externe</v>
      </c>
      <c r="D205" s="90"/>
      <c r="E205" s="90"/>
      <c r="F205" s="288"/>
      <c r="G205" s="10" t="str">
        <f>IFERROR(VLOOKUP(Externe[[#This Row],[Thema_Bezeichung]],EFs_Externe[],4,FALSE),"")</f>
        <v/>
      </c>
      <c r="H205" s="90"/>
      <c r="I205" s="90"/>
      <c r="J205" s="90"/>
      <c r="K205" s="90"/>
      <c r="L205" s="289" t="str">
        <f>IF(ISBLANK(Externe[[#This Row],[Wert 
(Zahl)]]),"", SUM(Externe[[#This Row],[Scope 1 CO2e '[kg CO2e']]:[Scope 3 CO2e '[kg CO2e']]]))</f>
        <v/>
      </c>
      <c r="M205" s="289" t="str">
        <f>IF(OR(ISBLANK(Externe[[#This Row],[Wert 
(Zahl)]]),Externe[[#This Row],[Scope 3 Ergebnis Nicht-CO2 '[kg CO2e']]]=0),"",Externe[[#This Row],[Scope 3 Ergebnis Nicht-CO2 '[kg CO2e']]])</f>
        <v/>
      </c>
      <c r="N205" s="408"/>
      <c r="O205" s="15" t="str">
        <f>IF(ISBLANK(Externe[[#This Row],[Emissionsquelle/Aktivität (Dropdown)]]),"",CONCATENATE(Externe[[#This Row],[Sektor_Thema]]," - ",Externe[[#This Row],[Emissionsquelle/Aktivität (Dropdown)]]))</f>
        <v/>
      </c>
      <c r="P205" s="15" t="str">
        <f>IF(ISBLANK(Externe[[#This Row],[Emissionsquelle/Aktivität (Dropdown)]]),"",AND(ISNUMBER(SEARCH("PKW",Externe[[#This Row],[Emissionsquelle/Aktivität (Dropdown)]])),ISNUMBER(Externe[[#This Row],[PKW-Auslastung:
Personenzahl/ PKW
(optionale Angabe)]])))</f>
        <v/>
      </c>
      <c r="Q205" s="15" t="str">
        <f>IFERROR(VLOOKUP(Externe[[#This Row],[Thema_Bezeichung]],EFs_Externe[],5,FALSE),"")</f>
        <v/>
      </c>
      <c r="R205" s="15" t="str">
        <f>IFERROR(VLOOKUP(Externe[[#This Row],[Thema_Bezeichung]],EFs_Externe[],6,FALSE),"")</f>
        <v/>
      </c>
      <c r="S205" s="15" t="str">
        <f>IF(Externe[[#This Row],[PKW - Auslastung angegeben?]]=TRUE,IFERROR((VLOOKUP(Externe[[#This Row],[Thema_Bezeichung]],EFs_Externe[],7,FALSE)*VLOOKUP(Externe[[#This Row],[Thema_Bezeichung]],EFs_Externe[],9,FALSE)/Externe[[#This Row],[PKW-Auslastung:
Personenzahl/ PKW
(optionale Angabe)]]),""),IF(Externe[[#This Row],[PKW - Auslastung angegeben?]]=FALSE,IFERROR(VLOOKUP(Externe[[#This Row],[Thema_Bezeichung]],EFs_Externe[],7,FALSE),""),""))</f>
        <v/>
      </c>
      <c r="T205" s="15" t="str">
        <f>IFERROR(VLOOKUP(Externe[[#This Row],[Thema_Bezeichung]],EFs_Externe[],8,FALSE),"")</f>
        <v/>
      </c>
      <c r="U205" s="15" t="str">
        <f>IFERROR(Externe[[#This Row],[Wert 
(Zahl)]]*Externe[[#This Row],[EF Scope 1 CO2e
(kg CO2e/Einheit)]],"")</f>
        <v/>
      </c>
      <c r="V205" s="15" t="str">
        <f>IFERROR(Externe[[#This Row],[Wert 
(Zahl)]]*Externe[[#This Row],[EF Scope 2 CO2e
(kg CO2e/Einheit)]],"")</f>
        <v/>
      </c>
      <c r="W205" s="15" t="str">
        <f>IFERROR(Externe[[#This Row],[Wert 
(Zahl)]]*Externe[[#This Row],[EF Scope 3 CO2e
(kg CO2e/Einheit)]],"")</f>
        <v/>
      </c>
      <c r="X205" s="15" t="str">
        <f>IFERROR(Externe[[#This Row],[Wert 
(Zahl)]]*Externe[[#This Row],[Scope 3 EF Nicht-CO2-Effekte '[kg CO2e/Einheit']]],"")</f>
        <v/>
      </c>
    </row>
    <row r="206" spans="2:72" s="89" customFormat="1" x14ac:dyDescent="0.35">
      <c r="B206" s="604"/>
      <c r="C206" s="10" t="str">
        <f t="shared" si="6"/>
        <v>Externe</v>
      </c>
      <c r="D206" s="90"/>
      <c r="E206" s="90"/>
      <c r="F206" s="288"/>
      <c r="G206" s="10" t="str">
        <f>IFERROR(VLOOKUP(Externe[[#This Row],[Thema_Bezeichung]],EFs_Externe[],4,FALSE),"")</f>
        <v/>
      </c>
      <c r="H206" s="90"/>
      <c r="I206" s="90"/>
      <c r="J206" s="90"/>
      <c r="K206" s="90"/>
      <c r="L206" s="289" t="str">
        <f>IF(ISBLANK(Externe[[#This Row],[Wert 
(Zahl)]]),"", SUM(Externe[[#This Row],[Scope 1 CO2e '[kg CO2e']]:[Scope 3 CO2e '[kg CO2e']]]))</f>
        <v/>
      </c>
      <c r="M206" s="289" t="str">
        <f>IF(OR(ISBLANK(Externe[[#This Row],[Wert 
(Zahl)]]),Externe[[#This Row],[Scope 3 Ergebnis Nicht-CO2 '[kg CO2e']]]=0),"",Externe[[#This Row],[Scope 3 Ergebnis Nicht-CO2 '[kg CO2e']]])</f>
        <v/>
      </c>
      <c r="N206" s="408"/>
      <c r="O206" s="15" t="str">
        <f>IF(ISBLANK(Externe[[#This Row],[Emissionsquelle/Aktivität (Dropdown)]]),"",CONCATENATE(Externe[[#This Row],[Sektor_Thema]]," - ",Externe[[#This Row],[Emissionsquelle/Aktivität (Dropdown)]]))</f>
        <v/>
      </c>
      <c r="P206" s="15" t="str">
        <f>IF(ISBLANK(Externe[[#This Row],[Emissionsquelle/Aktivität (Dropdown)]]),"",AND(ISNUMBER(SEARCH("PKW",Externe[[#This Row],[Emissionsquelle/Aktivität (Dropdown)]])),ISNUMBER(Externe[[#This Row],[PKW-Auslastung:
Personenzahl/ PKW
(optionale Angabe)]])))</f>
        <v/>
      </c>
      <c r="Q206" s="15" t="str">
        <f>IFERROR(VLOOKUP(Externe[[#This Row],[Thema_Bezeichung]],EFs_Externe[],5,FALSE),"")</f>
        <v/>
      </c>
      <c r="R206" s="15" t="str">
        <f>IFERROR(VLOOKUP(Externe[[#This Row],[Thema_Bezeichung]],EFs_Externe[],6,FALSE),"")</f>
        <v/>
      </c>
      <c r="S206" s="15" t="str">
        <f>IF(Externe[[#This Row],[PKW - Auslastung angegeben?]]=TRUE,IFERROR((VLOOKUP(Externe[[#This Row],[Thema_Bezeichung]],EFs_Externe[],7,FALSE)*VLOOKUP(Externe[[#This Row],[Thema_Bezeichung]],EFs_Externe[],9,FALSE)/Externe[[#This Row],[PKW-Auslastung:
Personenzahl/ PKW
(optionale Angabe)]]),""),IF(Externe[[#This Row],[PKW - Auslastung angegeben?]]=FALSE,IFERROR(VLOOKUP(Externe[[#This Row],[Thema_Bezeichung]],EFs_Externe[],7,FALSE),""),""))</f>
        <v/>
      </c>
      <c r="T206" s="15" t="str">
        <f>IFERROR(VLOOKUP(Externe[[#This Row],[Thema_Bezeichung]],EFs_Externe[],8,FALSE),"")</f>
        <v/>
      </c>
      <c r="U206" s="15" t="str">
        <f>IFERROR(Externe[[#This Row],[Wert 
(Zahl)]]*Externe[[#This Row],[EF Scope 1 CO2e
(kg CO2e/Einheit)]],"")</f>
        <v/>
      </c>
      <c r="V206" s="15" t="str">
        <f>IFERROR(Externe[[#This Row],[Wert 
(Zahl)]]*Externe[[#This Row],[EF Scope 2 CO2e
(kg CO2e/Einheit)]],"")</f>
        <v/>
      </c>
      <c r="W206" s="15" t="str">
        <f>IFERROR(Externe[[#This Row],[Wert 
(Zahl)]]*Externe[[#This Row],[EF Scope 3 CO2e
(kg CO2e/Einheit)]],"")</f>
        <v/>
      </c>
      <c r="X206" s="15" t="str">
        <f>IFERROR(Externe[[#This Row],[Wert 
(Zahl)]]*Externe[[#This Row],[Scope 3 EF Nicht-CO2-Effekte '[kg CO2e/Einheit']]],"")</f>
        <v/>
      </c>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row>
    <row r="207" spans="2:72" s="89" customFormat="1" x14ac:dyDescent="0.35">
      <c r="B207" s="604"/>
      <c r="C207" s="10" t="str">
        <f t="shared" si="6"/>
        <v>Externe</v>
      </c>
      <c r="D207" s="90"/>
      <c r="E207" s="90"/>
      <c r="F207" s="288"/>
      <c r="G207" s="10" t="str">
        <f>IFERROR(VLOOKUP(Externe[[#This Row],[Thema_Bezeichung]],EFs_Externe[],4,FALSE),"")</f>
        <v/>
      </c>
      <c r="H207" s="90"/>
      <c r="I207" s="90"/>
      <c r="J207" s="90"/>
      <c r="K207" s="90"/>
      <c r="L207" s="289" t="str">
        <f>IF(ISBLANK(Externe[[#This Row],[Wert 
(Zahl)]]),"", SUM(Externe[[#This Row],[Scope 1 CO2e '[kg CO2e']]:[Scope 3 CO2e '[kg CO2e']]]))</f>
        <v/>
      </c>
      <c r="M207" s="289" t="str">
        <f>IF(OR(ISBLANK(Externe[[#This Row],[Wert 
(Zahl)]]),Externe[[#This Row],[Scope 3 Ergebnis Nicht-CO2 '[kg CO2e']]]=0),"",Externe[[#This Row],[Scope 3 Ergebnis Nicht-CO2 '[kg CO2e']]])</f>
        <v/>
      </c>
      <c r="N207" s="408"/>
      <c r="O207" s="15" t="str">
        <f>IF(ISBLANK(Externe[[#This Row],[Emissionsquelle/Aktivität (Dropdown)]]),"",CONCATENATE(Externe[[#This Row],[Sektor_Thema]]," - ",Externe[[#This Row],[Emissionsquelle/Aktivität (Dropdown)]]))</f>
        <v/>
      </c>
      <c r="P207" s="15" t="str">
        <f>IF(ISBLANK(Externe[[#This Row],[Emissionsquelle/Aktivität (Dropdown)]]),"",AND(ISNUMBER(SEARCH("PKW",Externe[[#This Row],[Emissionsquelle/Aktivität (Dropdown)]])),ISNUMBER(Externe[[#This Row],[PKW-Auslastung:
Personenzahl/ PKW
(optionale Angabe)]])))</f>
        <v/>
      </c>
      <c r="Q207" s="15" t="str">
        <f>IFERROR(VLOOKUP(Externe[[#This Row],[Thema_Bezeichung]],EFs_Externe[],5,FALSE),"")</f>
        <v/>
      </c>
      <c r="R207" s="15" t="str">
        <f>IFERROR(VLOOKUP(Externe[[#This Row],[Thema_Bezeichung]],EFs_Externe[],6,FALSE),"")</f>
        <v/>
      </c>
      <c r="S207" s="15" t="str">
        <f>IF(Externe[[#This Row],[PKW - Auslastung angegeben?]]=TRUE,IFERROR((VLOOKUP(Externe[[#This Row],[Thema_Bezeichung]],EFs_Externe[],7,FALSE)*VLOOKUP(Externe[[#This Row],[Thema_Bezeichung]],EFs_Externe[],9,FALSE)/Externe[[#This Row],[PKW-Auslastung:
Personenzahl/ PKW
(optionale Angabe)]]),""),IF(Externe[[#This Row],[PKW - Auslastung angegeben?]]=FALSE,IFERROR(VLOOKUP(Externe[[#This Row],[Thema_Bezeichung]],EFs_Externe[],7,FALSE),""),""))</f>
        <v/>
      </c>
      <c r="T207" s="15" t="str">
        <f>IFERROR(VLOOKUP(Externe[[#This Row],[Thema_Bezeichung]],EFs_Externe[],8,FALSE),"")</f>
        <v/>
      </c>
      <c r="U207" s="15" t="str">
        <f>IFERROR(Externe[[#This Row],[Wert 
(Zahl)]]*Externe[[#This Row],[EF Scope 1 CO2e
(kg CO2e/Einheit)]],"")</f>
        <v/>
      </c>
      <c r="V207" s="15" t="str">
        <f>IFERROR(Externe[[#This Row],[Wert 
(Zahl)]]*Externe[[#This Row],[EF Scope 2 CO2e
(kg CO2e/Einheit)]],"")</f>
        <v/>
      </c>
      <c r="W207" s="15" t="str">
        <f>IFERROR(Externe[[#This Row],[Wert 
(Zahl)]]*Externe[[#This Row],[EF Scope 3 CO2e
(kg CO2e/Einheit)]],"")</f>
        <v/>
      </c>
      <c r="X207" s="15" t="str">
        <f>IFERROR(Externe[[#This Row],[Wert 
(Zahl)]]*Externe[[#This Row],[Scope 3 EF Nicht-CO2-Effekte '[kg CO2e/Einheit']]],"")</f>
        <v/>
      </c>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row>
    <row r="208" spans="2:72" s="89" customFormat="1" x14ac:dyDescent="0.35">
      <c r="B208" s="604"/>
      <c r="C208" s="10" t="str">
        <f t="shared" si="6"/>
        <v>Externe</v>
      </c>
      <c r="D208" s="90"/>
      <c r="E208" s="90"/>
      <c r="F208" s="288"/>
      <c r="G208" s="10" t="str">
        <f>IFERROR(VLOOKUP(Externe[[#This Row],[Thema_Bezeichung]],EFs_Externe[],4,FALSE),"")</f>
        <v/>
      </c>
      <c r="H208" s="90"/>
      <c r="I208" s="90"/>
      <c r="J208" s="90"/>
      <c r="K208" s="90"/>
      <c r="L208" s="289" t="str">
        <f>IF(ISBLANK(Externe[[#This Row],[Wert 
(Zahl)]]),"", SUM(Externe[[#This Row],[Scope 1 CO2e '[kg CO2e']]:[Scope 3 CO2e '[kg CO2e']]]))</f>
        <v/>
      </c>
      <c r="M208" s="289" t="str">
        <f>IF(OR(ISBLANK(Externe[[#This Row],[Wert 
(Zahl)]]),Externe[[#This Row],[Scope 3 Ergebnis Nicht-CO2 '[kg CO2e']]]=0),"",Externe[[#This Row],[Scope 3 Ergebnis Nicht-CO2 '[kg CO2e']]])</f>
        <v/>
      </c>
      <c r="N208" s="408"/>
      <c r="O208" s="15" t="str">
        <f>IF(ISBLANK(Externe[[#This Row],[Emissionsquelle/Aktivität (Dropdown)]]),"",CONCATENATE(Externe[[#This Row],[Sektor_Thema]]," - ",Externe[[#This Row],[Emissionsquelle/Aktivität (Dropdown)]]))</f>
        <v/>
      </c>
      <c r="P208" s="15" t="str">
        <f>IF(ISBLANK(Externe[[#This Row],[Emissionsquelle/Aktivität (Dropdown)]]),"",AND(ISNUMBER(SEARCH("PKW",Externe[[#This Row],[Emissionsquelle/Aktivität (Dropdown)]])),ISNUMBER(Externe[[#This Row],[PKW-Auslastung:
Personenzahl/ PKW
(optionale Angabe)]])))</f>
        <v/>
      </c>
      <c r="Q208" s="15" t="str">
        <f>IFERROR(VLOOKUP(Externe[[#This Row],[Thema_Bezeichung]],EFs_Externe[],5,FALSE),"")</f>
        <v/>
      </c>
      <c r="R208" s="15" t="str">
        <f>IFERROR(VLOOKUP(Externe[[#This Row],[Thema_Bezeichung]],EFs_Externe[],6,FALSE),"")</f>
        <v/>
      </c>
      <c r="S208" s="15" t="str">
        <f>IF(Externe[[#This Row],[PKW - Auslastung angegeben?]]=TRUE,IFERROR((VLOOKUP(Externe[[#This Row],[Thema_Bezeichung]],EFs_Externe[],7,FALSE)*VLOOKUP(Externe[[#This Row],[Thema_Bezeichung]],EFs_Externe[],9,FALSE)/Externe[[#This Row],[PKW-Auslastung:
Personenzahl/ PKW
(optionale Angabe)]]),""),IF(Externe[[#This Row],[PKW - Auslastung angegeben?]]=FALSE,IFERROR(VLOOKUP(Externe[[#This Row],[Thema_Bezeichung]],EFs_Externe[],7,FALSE),""),""))</f>
        <v/>
      </c>
      <c r="T208" s="15" t="str">
        <f>IFERROR(VLOOKUP(Externe[[#This Row],[Thema_Bezeichung]],EFs_Externe[],8,FALSE),"")</f>
        <v/>
      </c>
      <c r="U208" s="15" t="str">
        <f>IFERROR(Externe[[#This Row],[Wert 
(Zahl)]]*Externe[[#This Row],[EF Scope 1 CO2e
(kg CO2e/Einheit)]],"")</f>
        <v/>
      </c>
      <c r="V208" s="15" t="str">
        <f>IFERROR(Externe[[#This Row],[Wert 
(Zahl)]]*Externe[[#This Row],[EF Scope 2 CO2e
(kg CO2e/Einheit)]],"")</f>
        <v/>
      </c>
      <c r="W208" s="15" t="str">
        <f>IFERROR(Externe[[#This Row],[Wert 
(Zahl)]]*Externe[[#This Row],[EF Scope 3 CO2e
(kg CO2e/Einheit)]],"")</f>
        <v/>
      </c>
      <c r="X208" s="15" t="str">
        <f>IFERROR(Externe[[#This Row],[Wert 
(Zahl)]]*Externe[[#This Row],[Scope 3 EF Nicht-CO2-Effekte '[kg CO2e/Einheit']]],"")</f>
        <v/>
      </c>
      <c r="AS208"/>
      <c r="AT208"/>
      <c r="AU208"/>
      <c r="AV208"/>
      <c r="AW208"/>
      <c r="AX208"/>
      <c r="AY208"/>
      <c r="AZ208"/>
      <c r="BA208"/>
      <c r="BB208"/>
      <c r="BC208"/>
      <c r="BD208"/>
      <c r="BE208"/>
      <c r="BF208"/>
      <c r="BG208"/>
      <c r="BH208"/>
      <c r="BI208"/>
      <c r="BJ208"/>
      <c r="BK208"/>
      <c r="BL208"/>
      <c r="BM208"/>
      <c r="BN208"/>
      <c r="BO208"/>
      <c r="BP208"/>
      <c r="BQ208"/>
      <c r="BR208"/>
      <c r="BS208"/>
      <c r="BT208"/>
    </row>
    <row r="209" spans="2:72" s="89" customFormat="1" x14ac:dyDescent="0.35">
      <c r="B209" s="604"/>
      <c r="C209" s="90" t="str">
        <f t="shared" si="6"/>
        <v>Externe</v>
      </c>
      <c r="D209" s="90"/>
      <c r="E209" s="90"/>
      <c r="F209" s="288"/>
      <c r="G209" s="90" t="str">
        <f>IFERROR(VLOOKUP(Externe[[#This Row],[Thema_Bezeichung]],EFs_Externe[],4,FALSE),"")</f>
        <v/>
      </c>
      <c r="H209" s="90"/>
      <c r="I209" s="90"/>
      <c r="J209" s="90"/>
      <c r="K209" s="90"/>
      <c r="L209" s="290" t="str">
        <f>IF(ISBLANK(Externe[[#This Row],[Wert 
(Zahl)]]),"", SUM(Externe[[#This Row],[Scope 1 CO2e '[kg CO2e']]:[Scope 3 CO2e '[kg CO2e']]]))</f>
        <v/>
      </c>
      <c r="M209" s="290" t="str">
        <f>IF(OR(ISBLANK(Externe[[#This Row],[Wert 
(Zahl)]]),Externe[[#This Row],[Scope 3 Ergebnis Nicht-CO2 '[kg CO2e']]]=0),"",Externe[[#This Row],[Scope 3 Ergebnis Nicht-CO2 '[kg CO2e']]])</f>
        <v/>
      </c>
      <c r="N209" s="409"/>
      <c r="O209" s="94" t="str">
        <f>IF(ISBLANK(Externe[[#This Row],[Emissionsquelle/Aktivität (Dropdown)]]),"",CONCATENATE(Externe[[#This Row],[Sektor_Thema]]," - ",Externe[[#This Row],[Emissionsquelle/Aktivität (Dropdown)]]))</f>
        <v/>
      </c>
      <c r="P209" s="94" t="str">
        <f>IF(ISBLANK(Externe[[#This Row],[Emissionsquelle/Aktivität (Dropdown)]]),"",AND(ISNUMBER(SEARCH("PKW",Externe[[#This Row],[Emissionsquelle/Aktivität (Dropdown)]])),ISNUMBER(Externe[[#This Row],[PKW-Auslastung:
Personenzahl/ PKW
(optionale Angabe)]])))</f>
        <v/>
      </c>
      <c r="Q209" s="94" t="str">
        <f>IFERROR(VLOOKUP(Externe[[#This Row],[Thema_Bezeichung]],EFs_Externe[],5,FALSE),"")</f>
        <v/>
      </c>
      <c r="R209" s="94" t="str">
        <f>IFERROR(VLOOKUP(Externe[[#This Row],[Thema_Bezeichung]],EFs_Externe[],6,FALSE),"")</f>
        <v/>
      </c>
      <c r="S209" s="94" t="str">
        <f>IF(Externe[[#This Row],[PKW - Auslastung angegeben?]]=TRUE,IFERROR((VLOOKUP(Externe[[#This Row],[Thema_Bezeichung]],EFs_Externe[],7,FALSE)*VLOOKUP(Externe[[#This Row],[Thema_Bezeichung]],EFs_Externe[],9,FALSE)/Externe[[#This Row],[PKW-Auslastung:
Personenzahl/ PKW
(optionale Angabe)]]),""),IF(Externe[[#This Row],[PKW - Auslastung angegeben?]]=FALSE,IFERROR(VLOOKUP(Externe[[#This Row],[Thema_Bezeichung]],EFs_Externe[],7,FALSE),""),""))</f>
        <v/>
      </c>
      <c r="T209" s="94" t="str">
        <f>IFERROR(VLOOKUP(Externe[[#This Row],[Thema_Bezeichung]],EFs_Externe[],8,FALSE),"")</f>
        <v/>
      </c>
      <c r="U209" s="94" t="str">
        <f>IFERROR(Externe[[#This Row],[Wert 
(Zahl)]]*Externe[[#This Row],[EF Scope 1 CO2e
(kg CO2e/Einheit)]],"")</f>
        <v/>
      </c>
      <c r="V209" s="94" t="str">
        <f>IFERROR(Externe[[#This Row],[Wert 
(Zahl)]]*Externe[[#This Row],[EF Scope 2 CO2e
(kg CO2e/Einheit)]],"")</f>
        <v/>
      </c>
      <c r="W209" s="94" t="str">
        <f>IFERROR(Externe[[#This Row],[Wert 
(Zahl)]]*Externe[[#This Row],[EF Scope 3 CO2e
(kg CO2e/Einheit)]],"")</f>
        <v/>
      </c>
      <c r="X209" s="94" t="str">
        <f>IFERROR(Externe[[#This Row],[Wert 
(Zahl)]]*Externe[[#This Row],[Scope 3 EF Nicht-CO2-Effekte '[kg CO2e/Einheit']]],"")</f>
        <v/>
      </c>
      <c r="AS209"/>
      <c r="AT209"/>
      <c r="AU209"/>
      <c r="AV209"/>
      <c r="AW209"/>
      <c r="AX209"/>
      <c r="AY209"/>
      <c r="AZ209"/>
      <c r="BA209"/>
      <c r="BB209"/>
      <c r="BC209"/>
      <c r="BD209"/>
      <c r="BE209"/>
      <c r="BF209"/>
      <c r="BG209"/>
      <c r="BH209"/>
      <c r="BI209"/>
      <c r="BJ209"/>
      <c r="BK209"/>
      <c r="BL209"/>
      <c r="BM209"/>
      <c r="BN209"/>
      <c r="BO209"/>
      <c r="BP209"/>
      <c r="BQ209"/>
      <c r="BR209"/>
      <c r="BS209"/>
      <c r="BT209"/>
    </row>
    <row r="210" spans="2:72" s="89" customFormat="1" ht="15" thickBot="1" x14ac:dyDescent="0.4">
      <c r="B210" s="605"/>
      <c r="C210" s="90" t="str">
        <f t="shared" si="6"/>
        <v>Externe</v>
      </c>
      <c r="D210" s="90"/>
      <c r="E210" s="90"/>
      <c r="F210" s="288"/>
      <c r="G210" s="90" t="str">
        <f>IFERROR(VLOOKUP(Externe[[#This Row],[Thema_Bezeichung]],EFs_Externe[],4,FALSE),"")</f>
        <v/>
      </c>
      <c r="H210" s="90"/>
      <c r="I210" s="90"/>
      <c r="J210" s="90"/>
      <c r="K210" s="90"/>
      <c r="L210" s="290" t="str">
        <f>IF(ISBLANK(Externe[[#This Row],[Wert 
(Zahl)]]),"", SUM(Externe[[#This Row],[Scope 1 CO2e '[kg CO2e']]:[Scope 3 CO2e '[kg CO2e']]]))</f>
        <v/>
      </c>
      <c r="M210" s="290" t="str">
        <f>IF(OR(ISBLANK(Externe[[#This Row],[Wert 
(Zahl)]]),Externe[[#This Row],[Scope 3 Ergebnis Nicht-CO2 '[kg CO2e']]]=0),"",Externe[[#This Row],[Scope 3 Ergebnis Nicht-CO2 '[kg CO2e']]])</f>
        <v/>
      </c>
      <c r="N210" s="409"/>
      <c r="O210" s="94" t="str">
        <f>IF(ISBLANK(Externe[[#This Row],[Emissionsquelle/Aktivität (Dropdown)]]),"",CONCATENATE(Externe[[#This Row],[Sektor_Thema]]," - ",Externe[[#This Row],[Emissionsquelle/Aktivität (Dropdown)]]))</f>
        <v/>
      </c>
      <c r="P210" s="94" t="str">
        <f>IF(ISBLANK(Externe[[#This Row],[Emissionsquelle/Aktivität (Dropdown)]]),"",AND(ISNUMBER(SEARCH("PKW",Externe[[#This Row],[Emissionsquelle/Aktivität (Dropdown)]])),ISNUMBER(Externe[[#This Row],[PKW-Auslastung:
Personenzahl/ PKW
(optionale Angabe)]])))</f>
        <v/>
      </c>
      <c r="Q210" s="94" t="str">
        <f>IFERROR(VLOOKUP(Externe[[#This Row],[Thema_Bezeichung]],EFs_Externe[],5,FALSE),"")</f>
        <v/>
      </c>
      <c r="R210" s="94" t="str">
        <f>IFERROR(VLOOKUP(Externe[[#This Row],[Thema_Bezeichung]],EFs_Externe[],6,FALSE),"")</f>
        <v/>
      </c>
      <c r="S210" s="94" t="str">
        <f>IF(Externe[[#This Row],[PKW - Auslastung angegeben?]]=TRUE,IFERROR((VLOOKUP(Externe[[#This Row],[Thema_Bezeichung]],EFs_Externe[],7,FALSE)*VLOOKUP(Externe[[#This Row],[Thema_Bezeichung]],EFs_Externe[],9,FALSE)/Externe[[#This Row],[PKW-Auslastung:
Personenzahl/ PKW
(optionale Angabe)]]),""),IF(Externe[[#This Row],[PKW - Auslastung angegeben?]]=FALSE,IFERROR(VLOOKUP(Externe[[#This Row],[Thema_Bezeichung]],EFs_Externe[],7,FALSE),""),""))</f>
        <v/>
      </c>
      <c r="T210" s="94" t="str">
        <f>IFERROR(VLOOKUP(Externe[[#This Row],[Thema_Bezeichung]],EFs_Externe[],8,FALSE),"")</f>
        <v/>
      </c>
      <c r="U210" s="94" t="str">
        <f>IFERROR(Externe[[#This Row],[Wert 
(Zahl)]]*Externe[[#This Row],[EF Scope 1 CO2e
(kg CO2e/Einheit)]],"")</f>
        <v/>
      </c>
      <c r="V210" s="94" t="str">
        <f>IFERROR(Externe[[#This Row],[Wert 
(Zahl)]]*Externe[[#This Row],[EF Scope 2 CO2e
(kg CO2e/Einheit)]],"")</f>
        <v/>
      </c>
      <c r="W210" s="94" t="str">
        <f>IFERROR(Externe[[#This Row],[Wert 
(Zahl)]]*Externe[[#This Row],[EF Scope 3 CO2e
(kg CO2e/Einheit)]],"")</f>
        <v/>
      </c>
      <c r="X210" s="94" t="str">
        <f>IFERROR(Externe[[#This Row],[Wert 
(Zahl)]]*Externe[[#This Row],[Scope 3 EF Nicht-CO2-Effekte '[kg CO2e/Einheit']]],"")</f>
        <v/>
      </c>
      <c r="AS210"/>
      <c r="AT210"/>
      <c r="AU210"/>
      <c r="AV210"/>
      <c r="AW210"/>
      <c r="AX210"/>
      <c r="AY210"/>
      <c r="AZ210"/>
      <c r="BA210"/>
      <c r="BB210"/>
      <c r="BC210"/>
      <c r="BD210"/>
      <c r="BE210"/>
      <c r="BF210"/>
      <c r="BG210"/>
      <c r="BH210"/>
      <c r="BI210"/>
      <c r="BJ210"/>
      <c r="BK210"/>
      <c r="BL210"/>
      <c r="BM210"/>
      <c r="BN210"/>
      <c r="BO210"/>
      <c r="BP210"/>
      <c r="BQ210"/>
      <c r="BR210"/>
      <c r="BS210"/>
      <c r="BT210"/>
    </row>
    <row r="211" spans="2:72" s="2" customFormat="1" ht="15" thickTop="1" x14ac:dyDescent="0.35">
      <c r="B211" s="13"/>
      <c r="D211" s="333" t="s">
        <v>204</v>
      </c>
      <c r="E211" s="333"/>
      <c r="F211" s="333"/>
      <c r="G211" s="333"/>
      <c r="H211" s="333"/>
      <c r="I211" s="333"/>
      <c r="J211" s="333"/>
      <c r="K211" s="333"/>
      <c r="L211" s="291">
        <f>SUBTOTAL(109,Externe[Ergebnis '[kg CO2e'] (vorausgefüllt)])</f>
        <v>0</v>
      </c>
      <c r="M211" s="713">
        <f>SUBTOTAL(109,Externe[Nicht-CO2-Effekte '[kg CO2e'] (vorausgefüllt)])</f>
        <v>0</v>
      </c>
      <c r="N211" s="162"/>
      <c r="U211" s="2">
        <f>SUBTOTAL(109,Externe[Scope 1 CO2e '[kg CO2e']])</f>
        <v>0</v>
      </c>
      <c r="V211" s="2">
        <f>SUBTOTAL(109,Externe[Scope 2 CO2e '[kg CO2e']])</f>
        <v>0</v>
      </c>
      <c r="W211" s="2">
        <f>SUBTOTAL(109,Externe[Scope 3 CO2e '[kg CO2e']])</f>
        <v>0</v>
      </c>
      <c r="X211" s="2">
        <f>SUBTOTAL(109,Externe[Scope 3 Ergebnis Nicht-CO2 '[kg CO2e']])</f>
        <v>0</v>
      </c>
      <c r="AS211"/>
      <c r="AT211"/>
      <c r="AU211"/>
      <c r="AV211"/>
      <c r="AW211"/>
      <c r="AX211"/>
      <c r="AY211"/>
      <c r="AZ211"/>
      <c r="BA211"/>
      <c r="BB211"/>
      <c r="BC211"/>
      <c r="BD211"/>
      <c r="BE211"/>
      <c r="BF211"/>
      <c r="BG211"/>
      <c r="BH211"/>
      <c r="BI211"/>
      <c r="BJ211"/>
      <c r="BK211"/>
      <c r="BL211"/>
      <c r="BM211"/>
      <c r="BN211"/>
      <c r="BO211"/>
      <c r="BP211"/>
      <c r="BQ211"/>
      <c r="BR211"/>
      <c r="BS211"/>
      <c r="BT211"/>
    </row>
    <row r="212" spans="2:72" ht="120" customHeight="1" x14ac:dyDescent="0.35">
      <c r="B212" s="183" t="s">
        <v>79</v>
      </c>
      <c r="C212" s="81"/>
      <c r="D212" s="81"/>
      <c r="E212" s="11"/>
      <c r="F212" s="11"/>
      <c r="G212" s="11"/>
      <c r="H212" s="11"/>
      <c r="I212" s="11"/>
      <c r="L212" s="161"/>
    </row>
    <row r="213" spans="2:72" x14ac:dyDescent="0.35">
      <c r="B213" s="127" t="s">
        <v>80</v>
      </c>
      <c r="L213" s="161"/>
      <c r="AP213" s="89"/>
      <c r="AQ213" s="89"/>
      <c r="AR213" s="89"/>
      <c r="AS213" s="89"/>
      <c r="AT213" s="89"/>
      <c r="AU213" s="89"/>
      <c r="AV213" s="89"/>
      <c r="AW213" s="89"/>
      <c r="AX213" s="89"/>
      <c r="AY213" s="89"/>
      <c r="AZ213" s="89"/>
      <c r="BA213" s="89"/>
      <c r="BB213" s="89"/>
      <c r="BC213" s="89"/>
      <c r="BD213" s="89"/>
      <c r="BE213" s="89"/>
      <c r="BF213" s="89"/>
      <c r="BG213" s="89"/>
      <c r="BH213" s="89"/>
      <c r="BI213" s="89"/>
      <c r="BJ213" s="89"/>
      <c r="BK213" s="89"/>
      <c r="BL213" s="89"/>
      <c r="BM213" s="89"/>
      <c r="BN213" s="89"/>
      <c r="BO213" s="89"/>
      <c r="BP213" s="89"/>
      <c r="BQ213" s="89"/>
    </row>
    <row r="214" spans="2:72" ht="18.5" x14ac:dyDescent="0.45">
      <c r="B214" s="126" t="s">
        <v>71</v>
      </c>
      <c r="L214" s="161"/>
      <c r="AP214" s="89"/>
      <c r="AQ214" s="89"/>
      <c r="AR214" s="89"/>
      <c r="AS214" s="89"/>
      <c r="AT214" s="89"/>
      <c r="AU214" s="89"/>
      <c r="AV214" s="89"/>
      <c r="AW214" s="89"/>
      <c r="AX214" s="89"/>
      <c r="AY214" s="89"/>
      <c r="AZ214" s="89"/>
      <c r="BA214" s="89"/>
      <c r="BB214" s="89"/>
      <c r="BC214" s="89"/>
      <c r="BD214" s="89"/>
      <c r="BE214" s="89"/>
      <c r="BF214" s="89"/>
      <c r="BG214" s="89"/>
      <c r="BH214" s="89"/>
      <c r="BI214" s="89"/>
      <c r="BJ214" s="89"/>
      <c r="BK214" s="89"/>
      <c r="BL214" s="89"/>
      <c r="BM214" s="89"/>
      <c r="BN214" s="89"/>
      <c r="BO214" s="89"/>
      <c r="BP214" s="89"/>
      <c r="BQ214" s="89"/>
    </row>
    <row r="215" spans="2:72" ht="108.5" customHeight="1" x14ac:dyDescent="0.35">
      <c r="B215" s="273" t="s">
        <v>81</v>
      </c>
      <c r="C215" s="275"/>
      <c r="D215" s="601" t="s">
        <v>606</v>
      </c>
      <c r="E215" s="601"/>
      <c r="F215" s="601"/>
      <c r="G215" s="601"/>
      <c r="H215" s="601"/>
      <c r="I215" s="602"/>
      <c r="K215" s="478"/>
      <c r="L215" s="478" t="s">
        <v>604</v>
      </c>
      <c r="AP215" s="89"/>
      <c r="AQ215" s="89"/>
      <c r="AR215" s="89"/>
      <c r="AS215" s="89"/>
      <c r="AT215" s="89"/>
      <c r="AU215" s="89"/>
      <c r="AV215" s="89"/>
      <c r="AW215" s="89"/>
      <c r="AX215" s="89"/>
      <c r="AY215" s="89"/>
      <c r="AZ215" s="89"/>
      <c r="BA215" s="89"/>
      <c r="BB215" s="89"/>
      <c r="BC215" s="89"/>
      <c r="BD215" s="89"/>
      <c r="BE215" s="89"/>
      <c r="BF215" s="89"/>
      <c r="BG215" s="89"/>
      <c r="BH215" s="89"/>
      <c r="BI215" s="89"/>
      <c r="BJ215" s="89"/>
      <c r="BK215" s="89"/>
      <c r="BL215" s="89"/>
      <c r="BM215" s="89"/>
      <c r="BN215" s="89"/>
      <c r="BO215" s="89"/>
      <c r="BP215" s="89"/>
      <c r="BQ215" s="89"/>
    </row>
    <row r="216" spans="2:72" ht="14" customHeight="1" x14ac:dyDescent="0.45">
      <c r="C216" t="s">
        <v>71</v>
      </c>
      <c r="K216" s="479"/>
      <c r="L216" s="479" t="s">
        <v>603</v>
      </c>
      <c r="AP216" s="89"/>
      <c r="AQ216" s="89"/>
      <c r="AR216" s="89"/>
      <c r="AS216" s="89"/>
      <c r="AT216" s="89"/>
      <c r="AU216" s="89"/>
      <c r="AV216" s="89"/>
      <c r="AW216" s="89"/>
      <c r="AX216" s="89"/>
      <c r="AY216" s="89"/>
      <c r="AZ216" s="89"/>
      <c r="BA216" s="89"/>
      <c r="BB216" s="89"/>
      <c r="BC216" s="89"/>
      <c r="BD216" s="89"/>
      <c r="BE216" s="89"/>
      <c r="BF216" s="89"/>
      <c r="BG216" s="89"/>
      <c r="BH216" s="89"/>
      <c r="BI216" s="89"/>
      <c r="BJ216" s="89"/>
      <c r="BK216" s="89"/>
      <c r="BL216" s="89"/>
      <c r="BM216" s="89"/>
      <c r="BN216" s="89"/>
      <c r="BO216" s="89"/>
      <c r="BP216" s="89"/>
      <c r="BQ216" s="89"/>
    </row>
    <row r="217" spans="2:72" ht="48" thickBot="1" x14ac:dyDescent="0.4">
      <c r="B217" s="10"/>
      <c r="C217" s="23" t="s">
        <v>46</v>
      </c>
      <c r="D217" s="151" t="s">
        <v>192</v>
      </c>
      <c r="E217" s="151" t="s">
        <v>65</v>
      </c>
      <c r="F217" s="151" t="s">
        <v>66</v>
      </c>
      <c r="G217" s="97" t="s">
        <v>78</v>
      </c>
      <c r="H217" s="151" t="s">
        <v>120</v>
      </c>
      <c r="I217" s="97" t="s">
        <v>74</v>
      </c>
      <c r="J217" s="97" t="s">
        <v>75</v>
      </c>
      <c r="K217" s="156" t="s">
        <v>219</v>
      </c>
      <c r="L217" s="434" t="s">
        <v>576</v>
      </c>
      <c r="M217" s="407" t="s">
        <v>424</v>
      </c>
      <c r="N217" s="407" t="s">
        <v>484</v>
      </c>
      <c r="O217" s="97" t="s">
        <v>217</v>
      </c>
      <c r="P217" s="97" t="s">
        <v>530</v>
      </c>
      <c r="Q217" s="432" t="s">
        <v>485</v>
      </c>
      <c r="R217" s="432" t="s">
        <v>486</v>
      </c>
      <c r="S217" s="432" t="s">
        <v>487</v>
      </c>
      <c r="T217" s="442" t="s">
        <v>432</v>
      </c>
      <c r="U217" s="134" t="s">
        <v>493</v>
      </c>
      <c r="V217" s="134" t="s">
        <v>527</v>
      </c>
      <c r="W217" s="134" t="s">
        <v>528</v>
      </c>
      <c r="X217" s="441" t="s">
        <v>434</v>
      </c>
      <c r="AS217" s="89"/>
      <c r="AT217" s="89"/>
      <c r="AU217" s="89"/>
      <c r="AV217" s="89"/>
      <c r="AW217" s="89"/>
      <c r="AX217" s="89"/>
      <c r="AY217" s="89"/>
      <c r="AZ217" s="89"/>
      <c r="BA217" s="89"/>
      <c r="BB217" s="89"/>
      <c r="BC217" s="89"/>
      <c r="BD217" s="89"/>
      <c r="BE217" s="89"/>
      <c r="BF217" s="89"/>
      <c r="BG217" s="89"/>
      <c r="BH217" s="89"/>
      <c r="BI217" s="89"/>
      <c r="BJ217" s="89"/>
      <c r="BK217" s="89"/>
      <c r="BL217" s="89"/>
      <c r="BM217" s="89"/>
      <c r="BN217" s="89"/>
      <c r="BO217" s="89"/>
      <c r="BP217" s="89"/>
      <c r="BQ217" s="89"/>
      <c r="BR217" s="89"/>
      <c r="BS217" s="89"/>
      <c r="BT217" s="89"/>
    </row>
    <row r="218" spans="2:72" s="89" customFormat="1" ht="15" thickTop="1" x14ac:dyDescent="0.35">
      <c r="B218" s="603" t="s">
        <v>71</v>
      </c>
      <c r="C218" s="10" t="str">
        <f t="shared" ref="C218:C237" si="7">$C$216</f>
        <v>Warentransporte</v>
      </c>
      <c r="D218" s="90"/>
      <c r="E218" s="90"/>
      <c r="F218" s="288"/>
      <c r="G218" s="10" t="str">
        <f>IFERROR(VLOOKUP(Warentransporte[[#This Row],[Thema_Bezeichung]],EFs_Warentransporte[],4,FALSE),"")</f>
        <v/>
      </c>
      <c r="H218" s="90"/>
      <c r="I218" s="90"/>
      <c r="J218" s="90"/>
      <c r="K218" s="289" t="str">
        <f>IF(ISBLANK(Warentransporte[[#This Row],[Wert 
(Zahl)]]),"", SUM(Warentransporte[[#This Row],[Scope 1 CO2e '[kg CO2e']]:[Scope 3 CO2e '[kg CO2e']]]))</f>
        <v/>
      </c>
      <c r="L218" s="289" t="str">
        <f>IF(OR(ISBLANK(Warentransporte[[#This Row],[Wert 
(Zahl)]]),Warentransporte[[#This Row],[Scope 3 Ergebnis Nicht-CO2 '[kg CO2e']]]=0),"",Warentransporte[[#This Row],[Scope 3 Ergebnis Nicht-CO2 '[kg CO2e']]])</f>
        <v/>
      </c>
      <c r="M218" s="408"/>
      <c r="N218" s="408"/>
      <c r="O218" s="15" t="str">
        <f>IF(ISBLANK(Warentransporte[[#This Row],[Emissionsquelle/Aktivität (Dropdown)]]),"",CONCATENATE(Warentransporte[[#This Row],[Sektor_Thema]]," - ",Warentransporte[[#This Row],[Emissionsquelle/Aktivität (Dropdown)]]))</f>
        <v/>
      </c>
      <c r="P218" s="15"/>
      <c r="Q218" s="15" t="str">
        <f>IFERROR(VLOOKUP(Warentransporte[[#This Row],[Thema_Bezeichung]],EFs_Warentransporte[],5,FALSE),"")</f>
        <v/>
      </c>
      <c r="R218" s="15" t="str">
        <f>IFERROR(VLOOKUP(Warentransporte[[#This Row],[Thema_Bezeichung]],EFs_Warentransporte[],6,FALSE),"")</f>
        <v/>
      </c>
      <c r="S218" s="15" t="str">
        <f>IFERROR(VLOOKUP(Warentransporte[[#This Row],[Thema_Bezeichung]],EFs_Warentransporte[],7,FALSE),"")</f>
        <v/>
      </c>
      <c r="T218" s="15" t="str">
        <f>IFERROR(VLOOKUP(Warentransporte[[#This Row],[Thema_Bezeichung]],EFs_Warentransporte[],8,FALSE),"")</f>
        <v/>
      </c>
      <c r="U218" s="15" t="str">
        <f>IFERROR(Warentransporte[[#This Row],[Wert 
(Zahl)]]*Warentransporte[[#This Row],[EF Scope 1 CO2e
(kg CO2e/Einheit)]],"")</f>
        <v/>
      </c>
      <c r="V218" s="15" t="str">
        <f>IFERROR(Warentransporte[[#This Row],[Wert 
(Zahl)]]*Warentransporte[[#This Row],[EF Scope 2 CO2e
(kg CO2e/Einheit)]],"")</f>
        <v/>
      </c>
      <c r="W218" s="15" t="str">
        <f>IFERROR(Warentransporte[[#This Row],[Wert 
(Zahl)]]*Warentransporte[[#This Row],[EF Scope 3 CO2e
(kg CO2e/Einheit)]],"")</f>
        <v/>
      </c>
      <c r="X218" s="15" t="str">
        <f>IFERROR(Warentransporte[[#This Row],[Wert 
(Zahl)]]*Warentransporte[[#This Row],[Scope 3 EF Nicht-CO2-Effekte '[kg CO2e/Einheit']]],"")</f>
        <v/>
      </c>
    </row>
    <row r="219" spans="2:72" s="89" customFormat="1" x14ac:dyDescent="0.35">
      <c r="B219" s="604"/>
      <c r="C219" s="10" t="str">
        <f t="shared" si="7"/>
        <v>Warentransporte</v>
      </c>
      <c r="D219" s="90"/>
      <c r="E219" s="90"/>
      <c r="F219" s="288"/>
      <c r="G219" s="10" t="str">
        <f>IFERROR(VLOOKUP(Warentransporte[[#This Row],[Thema_Bezeichung]],EFs_Warentransporte[],4,FALSE),"")</f>
        <v/>
      </c>
      <c r="H219" s="90"/>
      <c r="I219" s="90"/>
      <c r="J219" s="90"/>
      <c r="K219" s="289" t="str">
        <f>IF(ISBLANK(Warentransporte[[#This Row],[Wert 
(Zahl)]]),"", SUM(Warentransporte[[#This Row],[Scope 1 CO2e '[kg CO2e']]:[Scope 3 CO2e '[kg CO2e']]]))</f>
        <v/>
      </c>
      <c r="L219" s="289" t="str">
        <f>IF(OR(ISBLANK(Warentransporte[[#This Row],[Wert 
(Zahl)]]),Warentransporte[[#This Row],[Scope 3 Ergebnis Nicht-CO2 '[kg CO2e']]]=0),"",Warentransporte[[#This Row],[Scope 3 Ergebnis Nicht-CO2 '[kg CO2e']]])</f>
        <v/>
      </c>
      <c r="M219" s="408"/>
      <c r="N219" s="408"/>
      <c r="O219" s="15" t="str">
        <f>IF(ISBLANK(Warentransporte[[#This Row],[Emissionsquelle/Aktivität (Dropdown)]]),"",CONCATENATE(Warentransporte[[#This Row],[Sektor_Thema]]," - ",Warentransporte[[#This Row],[Emissionsquelle/Aktivität (Dropdown)]]))</f>
        <v/>
      </c>
      <c r="P219" s="15"/>
      <c r="Q219" s="15" t="str">
        <f>IFERROR(VLOOKUP(Warentransporte[[#This Row],[Thema_Bezeichung]],EFs_Warentransporte[],5,FALSE),"")</f>
        <v/>
      </c>
      <c r="R219" s="15" t="str">
        <f>IFERROR(VLOOKUP(Warentransporte[[#This Row],[Thema_Bezeichung]],EFs_Warentransporte[],6,FALSE),"")</f>
        <v/>
      </c>
      <c r="S219" s="15" t="str">
        <f>IFERROR(VLOOKUP(Warentransporte[[#This Row],[Thema_Bezeichung]],EFs_Warentransporte[],7,FALSE),"")</f>
        <v/>
      </c>
      <c r="T219" s="15" t="str">
        <f>IFERROR(VLOOKUP(Warentransporte[[#This Row],[Thema_Bezeichung]],EFs_Warentransporte[],8,FALSE),"")</f>
        <v/>
      </c>
      <c r="U219" s="15" t="str">
        <f>IFERROR(Warentransporte[[#This Row],[Wert 
(Zahl)]]*Warentransporte[[#This Row],[EF Scope 1 CO2e
(kg CO2e/Einheit)]],"")</f>
        <v/>
      </c>
      <c r="V219" s="15" t="str">
        <f>IFERROR(Warentransporte[[#This Row],[Wert 
(Zahl)]]*Warentransporte[[#This Row],[EF Scope 2 CO2e
(kg CO2e/Einheit)]],"")</f>
        <v/>
      </c>
      <c r="W219" s="15" t="str">
        <f>IFERROR(Warentransporte[[#This Row],[Wert 
(Zahl)]]*Warentransporte[[#This Row],[EF Scope 3 CO2e
(kg CO2e/Einheit)]],"")</f>
        <v/>
      </c>
      <c r="X219" s="15" t="str">
        <f>IFERROR(Warentransporte[[#This Row],[Wert 
(Zahl)]]*Warentransporte[[#This Row],[Scope 3 EF Nicht-CO2-Effekte '[kg CO2e/Einheit']]],"")</f>
        <v/>
      </c>
    </row>
    <row r="220" spans="2:72" s="89" customFormat="1" x14ac:dyDescent="0.35">
      <c r="B220" s="604"/>
      <c r="C220" s="10" t="str">
        <f t="shared" si="7"/>
        <v>Warentransporte</v>
      </c>
      <c r="D220" s="90"/>
      <c r="E220" s="90"/>
      <c r="F220" s="288"/>
      <c r="G220" s="10" t="str">
        <f>IFERROR(VLOOKUP(Warentransporte[[#This Row],[Thema_Bezeichung]],EFs_Warentransporte[],4,FALSE),"")</f>
        <v/>
      </c>
      <c r="H220" s="90"/>
      <c r="I220" s="90"/>
      <c r="J220" s="90"/>
      <c r="K220" s="289" t="str">
        <f>IF(ISBLANK(Warentransporte[[#This Row],[Wert 
(Zahl)]]),"", SUM(Warentransporte[[#This Row],[Scope 1 CO2e '[kg CO2e']]:[Scope 3 CO2e '[kg CO2e']]]))</f>
        <v/>
      </c>
      <c r="L220" s="289" t="str">
        <f>IF(OR(ISBLANK(Warentransporte[[#This Row],[Wert 
(Zahl)]]),Warentransporte[[#This Row],[Scope 3 Ergebnis Nicht-CO2 '[kg CO2e']]]=0),"",Warentransporte[[#This Row],[Scope 3 Ergebnis Nicht-CO2 '[kg CO2e']]])</f>
        <v/>
      </c>
      <c r="M220" s="408"/>
      <c r="N220" s="408"/>
      <c r="O220" s="15" t="str">
        <f>IF(ISBLANK(Warentransporte[[#This Row],[Emissionsquelle/Aktivität (Dropdown)]]),"",CONCATENATE(Warentransporte[[#This Row],[Sektor_Thema]]," - ",Warentransporte[[#This Row],[Emissionsquelle/Aktivität (Dropdown)]]))</f>
        <v/>
      </c>
      <c r="P220" s="15"/>
      <c r="Q220" s="15" t="str">
        <f>IFERROR(VLOOKUP(Warentransporte[[#This Row],[Thema_Bezeichung]],EFs_Warentransporte[],5,FALSE),"")</f>
        <v/>
      </c>
      <c r="R220" s="15" t="str">
        <f>IFERROR(VLOOKUP(Warentransporte[[#This Row],[Thema_Bezeichung]],EFs_Warentransporte[],6,FALSE),"")</f>
        <v/>
      </c>
      <c r="S220" s="15" t="str">
        <f>IFERROR(VLOOKUP(Warentransporte[[#This Row],[Thema_Bezeichung]],EFs_Warentransporte[],7,FALSE),"")</f>
        <v/>
      </c>
      <c r="T220" s="15" t="str">
        <f>IFERROR(VLOOKUP(Warentransporte[[#This Row],[Thema_Bezeichung]],EFs_Warentransporte[],8,FALSE),"")</f>
        <v/>
      </c>
      <c r="U220" s="15" t="str">
        <f>IFERROR(Warentransporte[[#This Row],[Wert 
(Zahl)]]*Warentransporte[[#This Row],[EF Scope 1 CO2e
(kg CO2e/Einheit)]],"")</f>
        <v/>
      </c>
      <c r="V220" s="15" t="str">
        <f>IFERROR(Warentransporte[[#This Row],[Wert 
(Zahl)]]*Warentransporte[[#This Row],[EF Scope 2 CO2e
(kg CO2e/Einheit)]],"")</f>
        <v/>
      </c>
      <c r="W220" s="15" t="str">
        <f>IFERROR(Warentransporte[[#This Row],[Wert 
(Zahl)]]*Warentransporte[[#This Row],[EF Scope 3 CO2e
(kg CO2e/Einheit)]],"")</f>
        <v/>
      </c>
      <c r="X220" s="15" t="str">
        <f>IFERROR(Warentransporte[[#This Row],[Wert 
(Zahl)]]*Warentransporte[[#This Row],[Scope 3 EF Nicht-CO2-Effekte '[kg CO2e/Einheit']]],"")</f>
        <v/>
      </c>
    </row>
    <row r="221" spans="2:72" s="89" customFormat="1" x14ac:dyDescent="0.35">
      <c r="B221" s="604"/>
      <c r="C221" s="10" t="str">
        <f t="shared" si="7"/>
        <v>Warentransporte</v>
      </c>
      <c r="D221" s="90"/>
      <c r="E221" s="90"/>
      <c r="F221" s="288"/>
      <c r="G221" s="10" t="str">
        <f>IFERROR(VLOOKUP(Warentransporte[[#This Row],[Thema_Bezeichung]],EFs_Warentransporte[],4,FALSE),"")</f>
        <v/>
      </c>
      <c r="H221" s="90"/>
      <c r="I221" s="90"/>
      <c r="J221" s="90"/>
      <c r="K221" s="289" t="str">
        <f>IF(ISBLANK(Warentransporte[[#This Row],[Wert 
(Zahl)]]),"", SUM(Warentransporte[[#This Row],[Scope 1 CO2e '[kg CO2e']]:[Scope 3 CO2e '[kg CO2e']]]))</f>
        <v/>
      </c>
      <c r="L221" s="289" t="str">
        <f>IF(OR(ISBLANK(Warentransporte[[#This Row],[Wert 
(Zahl)]]),Warentransporte[[#This Row],[Scope 3 Ergebnis Nicht-CO2 '[kg CO2e']]]=0),"",Warentransporte[[#This Row],[Scope 3 Ergebnis Nicht-CO2 '[kg CO2e']]])</f>
        <v/>
      </c>
      <c r="M221" s="408"/>
      <c r="N221" s="408"/>
      <c r="O221" s="15" t="str">
        <f>IF(ISBLANK(Warentransporte[[#This Row],[Emissionsquelle/Aktivität (Dropdown)]]),"",CONCATENATE(Warentransporte[[#This Row],[Sektor_Thema]]," - ",Warentransporte[[#This Row],[Emissionsquelle/Aktivität (Dropdown)]]))</f>
        <v/>
      </c>
      <c r="P221" s="15"/>
      <c r="Q221" s="15" t="str">
        <f>IFERROR(VLOOKUP(Warentransporte[[#This Row],[Thema_Bezeichung]],EFs_Warentransporte[],5,FALSE),"")</f>
        <v/>
      </c>
      <c r="R221" s="15" t="str">
        <f>IFERROR(VLOOKUP(Warentransporte[[#This Row],[Thema_Bezeichung]],EFs_Warentransporte[],6,FALSE),"")</f>
        <v/>
      </c>
      <c r="S221" s="15" t="str">
        <f>IFERROR(VLOOKUP(Warentransporte[[#This Row],[Thema_Bezeichung]],EFs_Warentransporte[],7,FALSE),"")</f>
        <v/>
      </c>
      <c r="T221" s="15" t="str">
        <f>IFERROR(VLOOKUP(Warentransporte[[#This Row],[Thema_Bezeichung]],EFs_Warentransporte[],8,FALSE),"")</f>
        <v/>
      </c>
      <c r="U221" s="15" t="str">
        <f>IFERROR(Warentransporte[[#This Row],[Wert 
(Zahl)]]*Warentransporte[[#This Row],[EF Scope 1 CO2e
(kg CO2e/Einheit)]],"")</f>
        <v/>
      </c>
      <c r="V221" s="15" t="str">
        <f>IFERROR(Warentransporte[[#This Row],[Wert 
(Zahl)]]*Warentransporte[[#This Row],[EF Scope 2 CO2e
(kg CO2e/Einheit)]],"")</f>
        <v/>
      </c>
      <c r="W221" s="15" t="str">
        <f>IFERROR(Warentransporte[[#This Row],[Wert 
(Zahl)]]*Warentransporte[[#This Row],[EF Scope 3 CO2e
(kg CO2e/Einheit)]],"")</f>
        <v/>
      </c>
      <c r="X221" s="15" t="str">
        <f>IFERROR(Warentransporte[[#This Row],[Wert 
(Zahl)]]*Warentransporte[[#This Row],[Scope 3 EF Nicht-CO2-Effekte '[kg CO2e/Einheit']]],"")</f>
        <v/>
      </c>
    </row>
    <row r="222" spans="2:72" s="89" customFormat="1" x14ac:dyDescent="0.35">
      <c r="B222" s="604"/>
      <c r="C222" s="10" t="str">
        <f t="shared" si="7"/>
        <v>Warentransporte</v>
      </c>
      <c r="D222" s="90"/>
      <c r="E222" s="90"/>
      <c r="F222" s="288"/>
      <c r="G222" s="10" t="str">
        <f>IFERROR(VLOOKUP(Warentransporte[[#This Row],[Thema_Bezeichung]],EFs_Warentransporte[],4,FALSE),"")</f>
        <v/>
      </c>
      <c r="H222" s="90"/>
      <c r="I222" s="90"/>
      <c r="J222" s="90"/>
      <c r="K222" s="289" t="str">
        <f>IF(ISBLANK(Warentransporte[[#This Row],[Wert 
(Zahl)]]),"", SUM(Warentransporte[[#This Row],[Scope 1 CO2e '[kg CO2e']]:[Scope 3 CO2e '[kg CO2e']]]))</f>
        <v/>
      </c>
      <c r="L222" s="289" t="str">
        <f>IF(OR(ISBLANK(Warentransporte[[#This Row],[Wert 
(Zahl)]]),Warentransporte[[#This Row],[Scope 3 Ergebnis Nicht-CO2 '[kg CO2e']]]=0),"",Warentransporte[[#This Row],[Scope 3 Ergebnis Nicht-CO2 '[kg CO2e']]])</f>
        <v/>
      </c>
      <c r="M222" s="408"/>
      <c r="N222" s="408"/>
      <c r="O222" s="15" t="str">
        <f>IF(ISBLANK(Warentransporte[[#This Row],[Emissionsquelle/Aktivität (Dropdown)]]),"",CONCATENATE(Warentransporte[[#This Row],[Sektor_Thema]]," - ",Warentransporte[[#This Row],[Emissionsquelle/Aktivität (Dropdown)]]))</f>
        <v/>
      </c>
      <c r="P222" s="15"/>
      <c r="Q222" s="15" t="str">
        <f>IFERROR(VLOOKUP(Warentransporte[[#This Row],[Thema_Bezeichung]],EFs_Warentransporte[],5,FALSE),"")</f>
        <v/>
      </c>
      <c r="R222" s="15" t="str">
        <f>IFERROR(VLOOKUP(Warentransporte[[#This Row],[Thema_Bezeichung]],EFs_Warentransporte[],6,FALSE),"")</f>
        <v/>
      </c>
      <c r="S222" s="15" t="str">
        <f>IFERROR(VLOOKUP(Warentransporte[[#This Row],[Thema_Bezeichung]],EFs_Warentransporte[],7,FALSE),"")</f>
        <v/>
      </c>
      <c r="T222" s="15" t="str">
        <f>IFERROR(VLOOKUP(Warentransporte[[#This Row],[Thema_Bezeichung]],EFs_Warentransporte[],8,FALSE),"")</f>
        <v/>
      </c>
      <c r="U222" s="15" t="str">
        <f>IFERROR(Warentransporte[[#This Row],[Wert 
(Zahl)]]*Warentransporte[[#This Row],[EF Scope 1 CO2e
(kg CO2e/Einheit)]],"")</f>
        <v/>
      </c>
      <c r="V222" s="15" t="str">
        <f>IFERROR(Warentransporte[[#This Row],[Wert 
(Zahl)]]*Warentransporte[[#This Row],[EF Scope 2 CO2e
(kg CO2e/Einheit)]],"")</f>
        <v/>
      </c>
      <c r="W222" s="15" t="str">
        <f>IFERROR(Warentransporte[[#This Row],[Wert 
(Zahl)]]*Warentransporte[[#This Row],[EF Scope 3 CO2e
(kg CO2e/Einheit)]],"")</f>
        <v/>
      </c>
      <c r="X222" s="15" t="str">
        <f>IFERROR(Warentransporte[[#This Row],[Wert 
(Zahl)]]*Warentransporte[[#This Row],[Scope 3 EF Nicht-CO2-Effekte '[kg CO2e/Einheit']]],"")</f>
        <v/>
      </c>
    </row>
    <row r="223" spans="2:72" s="89" customFormat="1" x14ac:dyDescent="0.35">
      <c r="B223" s="604"/>
      <c r="C223" s="10" t="str">
        <f t="shared" si="7"/>
        <v>Warentransporte</v>
      </c>
      <c r="D223" s="90"/>
      <c r="E223" s="90"/>
      <c r="F223" s="288"/>
      <c r="G223" s="10" t="str">
        <f>IFERROR(VLOOKUP(Warentransporte[[#This Row],[Thema_Bezeichung]],EFs_Warentransporte[],4,FALSE),"")</f>
        <v/>
      </c>
      <c r="H223" s="90"/>
      <c r="I223" s="90"/>
      <c r="J223" s="90"/>
      <c r="K223" s="289" t="str">
        <f>IF(ISBLANK(Warentransporte[[#This Row],[Wert 
(Zahl)]]),"", SUM(Warentransporte[[#This Row],[Scope 1 CO2e '[kg CO2e']]:[Scope 3 CO2e '[kg CO2e']]]))</f>
        <v/>
      </c>
      <c r="L223" s="289" t="str">
        <f>IF(OR(ISBLANK(Warentransporte[[#This Row],[Wert 
(Zahl)]]),Warentransporte[[#This Row],[Scope 3 Ergebnis Nicht-CO2 '[kg CO2e']]]=0),"",Warentransporte[[#This Row],[Scope 3 Ergebnis Nicht-CO2 '[kg CO2e']]])</f>
        <v/>
      </c>
      <c r="M223" s="408"/>
      <c r="N223" s="408"/>
      <c r="O223" s="15" t="str">
        <f>IF(ISBLANK(Warentransporte[[#This Row],[Emissionsquelle/Aktivität (Dropdown)]]),"",CONCATENATE(Warentransporte[[#This Row],[Sektor_Thema]]," - ",Warentransporte[[#This Row],[Emissionsquelle/Aktivität (Dropdown)]]))</f>
        <v/>
      </c>
      <c r="P223" s="15"/>
      <c r="Q223" s="15" t="str">
        <f>IFERROR(VLOOKUP(Warentransporte[[#This Row],[Thema_Bezeichung]],EFs_Warentransporte[],5,FALSE),"")</f>
        <v/>
      </c>
      <c r="R223" s="15" t="str">
        <f>IFERROR(VLOOKUP(Warentransporte[[#This Row],[Thema_Bezeichung]],EFs_Warentransporte[],6,FALSE),"")</f>
        <v/>
      </c>
      <c r="S223" s="15" t="str">
        <f>IFERROR(VLOOKUP(Warentransporte[[#This Row],[Thema_Bezeichung]],EFs_Warentransporte[],7,FALSE),"")</f>
        <v/>
      </c>
      <c r="T223" s="15" t="str">
        <f>IFERROR(VLOOKUP(Warentransporte[[#This Row],[Thema_Bezeichung]],EFs_Warentransporte[],8,FALSE),"")</f>
        <v/>
      </c>
      <c r="U223" s="15" t="str">
        <f>IFERROR(Warentransporte[[#This Row],[Wert 
(Zahl)]]*Warentransporte[[#This Row],[EF Scope 1 CO2e
(kg CO2e/Einheit)]],"")</f>
        <v/>
      </c>
      <c r="V223" s="15" t="str">
        <f>IFERROR(Warentransporte[[#This Row],[Wert 
(Zahl)]]*Warentransporte[[#This Row],[EF Scope 2 CO2e
(kg CO2e/Einheit)]],"")</f>
        <v/>
      </c>
      <c r="W223" s="15" t="str">
        <f>IFERROR(Warentransporte[[#This Row],[Wert 
(Zahl)]]*Warentransporte[[#This Row],[EF Scope 3 CO2e
(kg CO2e/Einheit)]],"")</f>
        <v/>
      </c>
      <c r="X223" s="15" t="str">
        <f>IFERROR(Warentransporte[[#This Row],[Wert 
(Zahl)]]*Warentransporte[[#This Row],[Scope 3 EF Nicht-CO2-Effekte '[kg CO2e/Einheit']]],"")</f>
        <v/>
      </c>
    </row>
    <row r="224" spans="2:72" s="89" customFormat="1" x14ac:dyDescent="0.35">
      <c r="B224" s="604"/>
      <c r="C224" s="10" t="str">
        <f t="shared" si="7"/>
        <v>Warentransporte</v>
      </c>
      <c r="D224" s="90"/>
      <c r="E224" s="90"/>
      <c r="F224" s="288"/>
      <c r="G224" s="10" t="str">
        <f>IFERROR(VLOOKUP(Warentransporte[[#This Row],[Thema_Bezeichung]],EFs_Warentransporte[],4,FALSE),"")</f>
        <v/>
      </c>
      <c r="H224" s="90"/>
      <c r="I224" s="90"/>
      <c r="J224" s="90"/>
      <c r="K224" s="289" t="str">
        <f>IF(ISBLANK(Warentransporte[[#This Row],[Wert 
(Zahl)]]),"", SUM(Warentransporte[[#This Row],[Scope 1 CO2e '[kg CO2e']]:[Scope 3 CO2e '[kg CO2e']]]))</f>
        <v/>
      </c>
      <c r="L224" s="289" t="str">
        <f>IF(OR(ISBLANK(Warentransporte[[#This Row],[Wert 
(Zahl)]]),Warentransporte[[#This Row],[Scope 3 Ergebnis Nicht-CO2 '[kg CO2e']]]=0),"",Warentransporte[[#This Row],[Scope 3 Ergebnis Nicht-CO2 '[kg CO2e']]])</f>
        <v/>
      </c>
      <c r="M224" s="408"/>
      <c r="N224" s="408"/>
      <c r="O224" s="15" t="str">
        <f>IF(ISBLANK(Warentransporte[[#This Row],[Emissionsquelle/Aktivität (Dropdown)]]),"",CONCATENATE(Warentransporte[[#This Row],[Sektor_Thema]]," - ",Warentransporte[[#This Row],[Emissionsquelle/Aktivität (Dropdown)]]))</f>
        <v/>
      </c>
      <c r="P224" s="15"/>
      <c r="Q224" s="15" t="str">
        <f>IFERROR(VLOOKUP(Warentransporte[[#This Row],[Thema_Bezeichung]],EFs_Warentransporte[],5,FALSE),"")</f>
        <v/>
      </c>
      <c r="R224" s="15" t="str">
        <f>IFERROR(VLOOKUP(Warentransporte[[#This Row],[Thema_Bezeichung]],EFs_Warentransporte[],6,FALSE),"")</f>
        <v/>
      </c>
      <c r="S224" s="15" t="str">
        <f>IFERROR(VLOOKUP(Warentransporte[[#This Row],[Thema_Bezeichung]],EFs_Warentransporte[],7,FALSE),"")</f>
        <v/>
      </c>
      <c r="T224" s="15" t="str">
        <f>IFERROR(VLOOKUP(Warentransporte[[#This Row],[Thema_Bezeichung]],EFs_Warentransporte[],8,FALSE),"")</f>
        <v/>
      </c>
      <c r="U224" s="15" t="str">
        <f>IFERROR(Warentransporte[[#This Row],[Wert 
(Zahl)]]*Warentransporte[[#This Row],[EF Scope 1 CO2e
(kg CO2e/Einheit)]],"")</f>
        <v/>
      </c>
      <c r="V224" s="15" t="str">
        <f>IFERROR(Warentransporte[[#This Row],[Wert 
(Zahl)]]*Warentransporte[[#This Row],[EF Scope 2 CO2e
(kg CO2e/Einheit)]],"")</f>
        <v/>
      </c>
      <c r="W224" s="15" t="str">
        <f>IFERROR(Warentransporte[[#This Row],[Wert 
(Zahl)]]*Warentransporte[[#This Row],[EF Scope 3 CO2e
(kg CO2e/Einheit)]],"")</f>
        <v/>
      </c>
      <c r="X224" s="15" t="str">
        <f>IFERROR(Warentransporte[[#This Row],[Wert 
(Zahl)]]*Warentransporte[[#This Row],[Scope 3 EF Nicht-CO2-Effekte '[kg CO2e/Einheit']]],"")</f>
        <v/>
      </c>
    </row>
    <row r="225" spans="2:72" s="89" customFormat="1" x14ac:dyDescent="0.35">
      <c r="B225" s="604"/>
      <c r="C225" s="10" t="str">
        <f t="shared" si="7"/>
        <v>Warentransporte</v>
      </c>
      <c r="D225" s="90"/>
      <c r="E225" s="90"/>
      <c r="F225" s="288"/>
      <c r="G225" s="10" t="str">
        <f>IFERROR(VLOOKUP(Warentransporte[[#This Row],[Thema_Bezeichung]],EFs_Warentransporte[],4,FALSE),"")</f>
        <v/>
      </c>
      <c r="H225" s="90"/>
      <c r="I225" s="90"/>
      <c r="J225" s="90"/>
      <c r="K225" s="289" t="str">
        <f>IF(ISBLANK(Warentransporte[[#This Row],[Wert 
(Zahl)]]),"", SUM(Warentransporte[[#This Row],[Scope 1 CO2e '[kg CO2e']]:[Scope 3 CO2e '[kg CO2e']]]))</f>
        <v/>
      </c>
      <c r="L225" s="289" t="str">
        <f>IF(OR(ISBLANK(Warentransporte[[#This Row],[Wert 
(Zahl)]]),Warentransporte[[#This Row],[Scope 3 Ergebnis Nicht-CO2 '[kg CO2e']]]=0),"",Warentransporte[[#This Row],[Scope 3 Ergebnis Nicht-CO2 '[kg CO2e']]])</f>
        <v/>
      </c>
      <c r="M225" s="408"/>
      <c r="N225" s="408"/>
      <c r="O225" s="15" t="str">
        <f>IF(ISBLANK(Warentransporte[[#This Row],[Emissionsquelle/Aktivität (Dropdown)]]),"",CONCATENATE(Warentransporte[[#This Row],[Sektor_Thema]]," - ",Warentransporte[[#This Row],[Emissionsquelle/Aktivität (Dropdown)]]))</f>
        <v/>
      </c>
      <c r="P225" s="15"/>
      <c r="Q225" s="15" t="str">
        <f>IFERROR(VLOOKUP(Warentransporte[[#This Row],[Thema_Bezeichung]],EFs_Warentransporte[],5,FALSE),"")</f>
        <v/>
      </c>
      <c r="R225" s="15" t="str">
        <f>IFERROR(VLOOKUP(Warentransporte[[#This Row],[Thema_Bezeichung]],EFs_Warentransporte[],6,FALSE),"")</f>
        <v/>
      </c>
      <c r="S225" s="15" t="str">
        <f>IFERROR(VLOOKUP(Warentransporte[[#This Row],[Thema_Bezeichung]],EFs_Warentransporte[],7,FALSE),"")</f>
        <v/>
      </c>
      <c r="T225" s="15" t="str">
        <f>IFERROR(VLOOKUP(Warentransporte[[#This Row],[Thema_Bezeichung]],EFs_Warentransporte[],8,FALSE),"")</f>
        <v/>
      </c>
      <c r="U225" s="15" t="str">
        <f>IFERROR(Warentransporte[[#This Row],[Wert 
(Zahl)]]*Warentransporte[[#This Row],[EF Scope 1 CO2e
(kg CO2e/Einheit)]],"")</f>
        <v/>
      </c>
      <c r="V225" s="15" t="str">
        <f>IFERROR(Warentransporte[[#This Row],[Wert 
(Zahl)]]*Warentransporte[[#This Row],[EF Scope 2 CO2e
(kg CO2e/Einheit)]],"")</f>
        <v/>
      </c>
      <c r="W225" s="15" t="str">
        <f>IFERROR(Warentransporte[[#This Row],[Wert 
(Zahl)]]*Warentransporte[[#This Row],[EF Scope 3 CO2e
(kg CO2e/Einheit)]],"")</f>
        <v/>
      </c>
      <c r="X225" s="15" t="str">
        <f>IFERROR(Warentransporte[[#This Row],[Wert 
(Zahl)]]*Warentransporte[[#This Row],[Scope 3 EF Nicht-CO2-Effekte '[kg CO2e/Einheit']]],"")</f>
        <v/>
      </c>
    </row>
    <row r="226" spans="2:72" s="89" customFormat="1" x14ac:dyDescent="0.35">
      <c r="B226" s="604"/>
      <c r="C226" s="10" t="str">
        <f t="shared" si="7"/>
        <v>Warentransporte</v>
      </c>
      <c r="D226" s="90"/>
      <c r="E226" s="90"/>
      <c r="F226" s="288"/>
      <c r="G226" s="10" t="str">
        <f>IFERROR(VLOOKUP(Warentransporte[[#This Row],[Thema_Bezeichung]],EFs_Warentransporte[],4,FALSE),"")</f>
        <v/>
      </c>
      <c r="H226" s="90"/>
      <c r="I226" s="90"/>
      <c r="J226" s="90"/>
      <c r="K226" s="289" t="str">
        <f>IF(ISBLANK(Warentransporte[[#This Row],[Wert 
(Zahl)]]),"", SUM(Warentransporte[[#This Row],[Scope 1 CO2e '[kg CO2e']]:[Scope 3 CO2e '[kg CO2e']]]))</f>
        <v/>
      </c>
      <c r="L226" s="289" t="str">
        <f>IF(OR(ISBLANK(Warentransporte[[#This Row],[Wert 
(Zahl)]]),Warentransporte[[#This Row],[Scope 3 Ergebnis Nicht-CO2 '[kg CO2e']]]=0),"",Warentransporte[[#This Row],[Scope 3 Ergebnis Nicht-CO2 '[kg CO2e']]])</f>
        <v/>
      </c>
      <c r="M226" s="408"/>
      <c r="N226" s="408"/>
      <c r="O226" s="15" t="str">
        <f>IF(ISBLANK(Warentransporte[[#This Row],[Emissionsquelle/Aktivität (Dropdown)]]),"",CONCATENATE(Warentransporte[[#This Row],[Sektor_Thema]]," - ",Warentransporte[[#This Row],[Emissionsquelle/Aktivität (Dropdown)]]))</f>
        <v/>
      </c>
      <c r="P226" s="15"/>
      <c r="Q226" s="15" t="str">
        <f>IFERROR(VLOOKUP(Warentransporte[[#This Row],[Thema_Bezeichung]],EFs_Warentransporte[],5,FALSE),"")</f>
        <v/>
      </c>
      <c r="R226" s="15" t="str">
        <f>IFERROR(VLOOKUP(Warentransporte[[#This Row],[Thema_Bezeichung]],EFs_Warentransporte[],6,FALSE),"")</f>
        <v/>
      </c>
      <c r="S226" s="15" t="str">
        <f>IFERROR(VLOOKUP(Warentransporte[[#This Row],[Thema_Bezeichung]],EFs_Warentransporte[],7,FALSE),"")</f>
        <v/>
      </c>
      <c r="T226" s="15" t="str">
        <f>IFERROR(VLOOKUP(Warentransporte[[#This Row],[Thema_Bezeichung]],EFs_Warentransporte[],8,FALSE),"")</f>
        <v/>
      </c>
      <c r="U226" s="15" t="str">
        <f>IFERROR(Warentransporte[[#This Row],[Wert 
(Zahl)]]*Warentransporte[[#This Row],[EF Scope 1 CO2e
(kg CO2e/Einheit)]],"")</f>
        <v/>
      </c>
      <c r="V226" s="15" t="str">
        <f>IFERROR(Warentransporte[[#This Row],[Wert 
(Zahl)]]*Warentransporte[[#This Row],[EF Scope 2 CO2e
(kg CO2e/Einheit)]],"")</f>
        <v/>
      </c>
      <c r="W226" s="15" t="str">
        <f>IFERROR(Warentransporte[[#This Row],[Wert 
(Zahl)]]*Warentransporte[[#This Row],[EF Scope 3 CO2e
(kg CO2e/Einheit)]],"")</f>
        <v/>
      </c>
      <c r="X226" s="15" t="str">
        <f>IFERROR(Warentransporte[[#This Row],[Wert 
(Zahl)]]*Warentransporte[[#This Row],[Scope 3 EF Nicht-CO2-Effekte '[kg CO2e/Einheit']]],"")</f>
        <v/>
      </c>
    </row>
    <row r="227" spans="2:72" s="89" customFormat="1" x14ac:dyDescent="0.35">
      <c r="B227" s="604"/>
      <c r="C227" s="10" t="str">
        <f t="shared" si="7"/>
        <v>Warentransporte</v>
      </c>
      <c r="D227" s="90"/>
      <c r="E227" s="90"/>
      <c r="F227" s="288"/>
      <c r="G227" s="10" t="str">
        <f>IFERROR(VLOOKUP(Warentransporte[[#This Row],[Thema_Bezeichung]],EFs_Warentransporte[],4,FALSE),"")</f>
        <v/>
      </c>
      <c r="H227" s="90"/>
      <c r="I227" s="90"/>
      <c r="J227" s="90"/>
      <c r="K227" s="289" t="str">
        <f>IF(ISBLANK(Warentransporte[[#This Row],[Wert 
(Zahl)]]),"", SUM(Warentransporte[[#This Row],[Scope 1 CO2e '[kg CO2e']]:[Scope 3 CO2e '[kg CO2e']]]))</f>
        <v/>
      </c>
      <c r="L227" s="289" t="str">
        <f>IF(OR(ISBLANK(Warentransporte[[#This Row],[Wert 
(Zahl)]]),Warentransporte[[#This Row],[Scope 3 Ergebnis Nicht-CO2 '[kg CO2e']]]=0),"",Warentransporte[[#This Row],[Scope 3 Ergebnis Nicht-CO2 '[kg CO2e']]])</f>
        <v/>
      </c>
      <c r="M227" s="408"/>
      <c r="N227" s="408"/>
      <c r="O227" s="15" t="str">
        <f>IF(ISBLANK(Warentransporte[[#This Row],[Emissionsquelle/Aktivität (Dropdown)]]),"",CONCATENATE(Warentransporte[[#This Row],[Sektor_Thema]]," - ",Warentransporte[[#This Row],[Emissionsquelle/Aktivität (Dropdown)]]))</f>
        <v/>
      </c>
      <c r="P227" s="15"/>
      <c r="Q227" s="15" t="str">
        <f>IFERROR(VLOOKUP(Warentransporte[[#This Row],[Thema_Bezeichung]],EFs_Warentransporte[],5,FALSE),"")</f>
        <v/>
      </c>
      <c r="R227" s="15" t="str">
        <f>IFERROR(VLOOKUP(Warentransporte[[#This Row],[Thema_Bezeichung]],EFs_Warentransporte[],6,FALSE),"")</f>
        <v/>
      </c>
      <c r="S227" s="15" t="str">
        <f>IFERROR(VLOOKUP(Warentransporte[[#This Row],[Thema_Bezeichung]],EFs_Warentransporte[],7,FALSE),"")</f>
        <v/>
      </c>
      <c r="T227" s="15" t="str">
        <f>IFERROR(VLOOKUP(Warentransporte[[#This Row],[Thema_Bezeichung]],EFs_Warentransporte[],8,FALSE),"")</f>
        <v/>
      </c>
      <c r="U227" s="15" t="str">
        <f>IFERROR(Warentransporte[[#This Row],[Wert 
(Zahl)]]*Warentransporte[[#This Row],[EF Scope 1 CO2e
(kg CO2e/Einheit)]],"")</f>
        <v/>
      </c>
      <c r="V227" s="15" t="str">
        <f>IFERROR(Warentransporte[[#This Row],[Wert 
(Zahl)]]*Warentransporte[[#This Row],[EF Scope 2 CO2e
(kg CO2e/Einheit)]],"")</f>
        <v/>
      </c>
      <c r="W227" s="15" t="str">
        <f>IFERROR(Warentransporte[[#This Row],[Wert 
(Zahl)]]*Warentransporte[[#This Row],[EF Scope 3 CO2e
(kg CO2e/Einheit)]],"")</f>
        <v/>
      </c>
      <c r="X227" s="15" t="str">
        <f>IFERROR(Warentransporte[[#This Row],[Wert 
(Zahl)]]*Warentransporte[[#This Row],[Scope 3 EF Nicht-CO2-Effekte '[kg CO2e/Einheit']]],"")</f>
        <v/>
      </c>
    </row>
    <row r="228" spans="2:72" s="89" customFormat="1" x14ac:dyDescent="0.35">
      <c r="B228" s="604"/>
      <c r="C228" s="10" t="str">
        <f t="shared" si="7"/>
        <v>Warentransporte</v>
      </c>
      <c r="D228" s="90"/>
      <c r="E228" s="90"/>
      <c r="F228" s="288"/>
      <c r="G228" s="10" t="str">
        <f>IFERROR(VLOOKUP(Warentransporte[[#This Row],[Thema_Bezeichung]],EFs_Warentransporte[],4,FALSE),"")</f>
        <v/>
      </c>
      <c r="H228" s="90"/>
      <c r="I228" s="90"/>
      <c r="J228" s="90"/>
      <c r="K228" s="289" t="str">
        <f>IF(ISBLANK(Warentransporte[[#This Row],[Wert 
(Zahl)]]),"", SUM(Warentransporte[[#This Row],[Scope 1 CO2e '[kg CO2e']]:[Scope 3 CO2e '[kg CO2e']]]))</f>
        <v/>
      </c>
      <c r="L228" s="289" t="str">
        <f>IF(OR(ISBLANK(Warentransporte[[#This Row],[Wert 
(Zahl)]]),Warentransporte[[#This Row],[Scope 3 Ergebnis Nicht-CO2 '[kg CO2e']]]=0),"",Warentransporte[[#This Row],[Scope 3 Ergebnis Nicht-CO2 '[kg CO2e']]])</f>
        <v/>
      </c>
      <c r="M228" s="408"/>
      <c r="N228" s="408"/>
      <c r="O228" s="15" t="str">
        <f>IF(ISBLANK(Warentransporte[[#This Row],[Emissionsquelle/Aktivität (Dropdown)]]),"",CONCATENATE(Warentransporte[[#This Row],[Sektor_Thema]]," - ",Warentransporte[[#This Row],[Emissionsquelle/Aktivität (Dropdown)]]))</f>
        <v/>
      </c>
      <c r="P228" s="15"/>
      <c r="Q228" s="15" t="str">
        <f>IFERROR(VLOOKUP(Warentransporte[[#This Row],[Thema_Bezeichung]],EFs_Warentransporte[],5,FALSE),"")</f>
        <v/>
      </c>
      <c r="R228" s="15" t="str">
        <f>IFERROR(VLOOKUP(Warentransporte[[#This Row],[Thema_Bezeichung]],EFs_Warentransporte[],6,FALSE),"")</f>
        <v/>
      </c>
      <c r="S228" s="15" t="str">
        <f>IFERROR(VLOOKUP(Warentransporte[[#This Row],[Thema_Bezeichung]],EFs_Warentransporte[],7,FALSE),"")</f>
        <v/>
      </c>
      <c r="T228" s="15" t="str">
        <f>IFERROR(VLOOKUP(Warentransporte[[#This Row],[Thema_Bezeichung]],EFs_Warentransporte[],8,FALSE),"")</f>
        <v/>
      </c>
      <c r="U228" s="15" t="str">
        <f>IFERROR(Warentransporte[[#This Row],[Wert 
(Zahl)]]*Warentransporte[[#This Row],[EF Scope 1 CO2e
(kg CO2e/Einheit)]],"")</f>
        <v/>
      </c>
      <c r="V228" s="15" t="str">
        <f>IFERROR(Warentransporte[[#This Row],[Wert 
(Zahl)]]*Warentransporte[[#This Row],[EF Scope 2 CO2e
(kg CO2e/Einheit)]],"")</f>
        <v/>
      </c>
      <c r="W228" s="15" t="str">
        <f>IFERROR(Warentransporte[[#This Row],[Wert 
(Zahl)]]*Warentransporte[[#This Row],[EF Scope 3 CO2e
(kg CO2e/Einheit)]],"")</f>
        <v/>
      </c>
      <c r="X228" s="15" t="str">
        <f>IFERROR(Warentransporte[[#This Row],[Wert 
(Zahl)]]*Warentransporte[[#This Row],[Scope 3 EF Nicht-CO2-Effekte '[kg CO2e/Einheit']]],"")</f>
        <v/>
      </c>
    </row>
    <row r="229" spans="2:72" s="89" customFormat="1" x14ac:dyDescent="0.35">
      <c r="B229" s="604"/>
      <c r="C229" s="10" t="str">
        <f t="shared" si="7"/>
        <v>Warentransporte</v>
      </c>
      <c r="D229" s="90"/>
      <c r="E229" s="90"/>
      <c r="F229" s="288"/>
      <c r="G229" s="10" t="str">
        <f>IFERROR(VLOOKUP(Warentransporte[[#This Row],[Thema_Bezeichung]],EFs_Warentransporte[],4,FALSE),"")</f>
        <v/>
      </c>
      <c r="H229" s="90"/>
      <c r="I229" s="90"/>
      <c r="J229" s="90"/>
      <c r="K229" s="289" t="str">
        <f>IF(ISBLANK(Warentransporte[[#This Row],[Wert 
(Zahl)]]),"", SUM(Warentransporte[[#This Row],[Scope 1 CO2e '[kg CO2e']]:[Scope 3 CO2e '[kg CO2e']]]))</f>
        <v/>
      </c>
      <c r="L229" s="289" t="str">
        <f>IF(OR(ISBLANK(Warentransporte[[#This Row],[Wert 
(Zahl)]]),Warentransporte[[#This Row],[Scope 3 Ergebnis Nicht-CO2 '[kg CO2e']]]=0),"",Warentransporte[[#This Row],[Scope 3 Ergebnis Nicht-CO2 '[kg CO2e']]])</f>
        <v/>
      </c>
      <c r="M229" s="408"/>
      <c r="N229" s="408"/>
      <c r="O229" s="15" t="str">
        <f>IF(ISBLANK(Warentransporte[[#This Row],[Emissionsquelle/Aktivität (Dropdown)]]),"",CONCATENATE(Warentransporte[[#This Row],[Sektor_Thema]]," - ",Warentransporte[[#This Row],[Emissionsquelle/Aktivität (Dropdown)]]))</f>
        <v/>
      </c>
      <c r="P229" s="15"/>
      <c r="Q229" s="15" t="str">
        <f>IFERROR(VLOOKUP(Warentransporte[[#This Row],[Thema_Bezeichung]],EFs_Warentransporte[],5,FALSE),"")</f>
        <v/>
      </c>
      <c r="R229" s="15" t="str">
        <f>IFERROR(VLOOKUP(Warentransporte[[#This Row],[Thema_Bezeichung]],EFs_Warentransporte[],6,FALSE),"")</f>
        <v/>
      </c>
      <c r="S229" s="15" t="str">
        <f>IFERROR(VLOOKUP(Warentransporte[[#This Row],[Thema_Bezeichung]],EFs_Warentransporte[],7,FALSE),"")</f>
        <v/>
      </c>
      <c r="T229" s="15" t="str">
        <f>IFERROR(VLOOKUP(Warentransporte[[#This Row],[Thema_Bezeichung]],EFs_Warentransporte[],8,FALSE),"")</f>
        <v/>
      </c>
      <c r="U229" s="15" t="str">
        <f>IFERROR(Warentransporte[[#This Row],[Wert 
(Zahl)]]*Warentransporte[[#This Row],[EF Scope 1 CO2e
(kg CO2e/Einheit)]],"")</f>
        <v/>
      </c>
      <c r="V229" s="15" t="str">
        <f>IFERROR(Warentransporte[[#This Row],[Wert 
(Zahl)]]*Warentransporte[[#This Row],[EF Scope 2 CO2e
(kg CO2e/Einheit)]],"")</f>
        <v/>
      </c>
      <c r="W229" s="15" t="str">
        <f>IFERROR(Warentransporte[[#This Row],[Wert 
(Zahl)]]*Warentransporte[[#This Row],[EF Scope 3 CO2e
(kg CO2e/Einheit)]],"")</f>
        <v/>
      </c>
      <c r="X229" s="15" t="str">
        <f>IFERROR(Warentransporte[[#This Row],[Wert 
(Zahl)]]*Warentransporte[[#This Row],[Scope 3 EF Nicht-CO2-Effekte '[kg CO2e/Einheit']]],"")</f>
        <v/>
      </c>
    </row>
    <row r="230" spans="2:72" s="89" customFormat="1" x14ac:dyDescent="0.35">
      <c r="B230" s="604"/>
      <c r="C230" s="10" t="str">
        <f t="shared" si="7"/>
        <v>Warentransporte</v>
      </c>
      <c r="D230" s="90"/>
      <c r="E230" s="90"/>
      <c r="F230" s="288"/>
      <c r="G230" s="10" t="str">
        <f>IFERROR(VLOOKUP(Warentransporte[[#This Row],[Thema_Bezeichung]],EFs_Warentransporte[],4,FALSE),"")</f>
        <v/>
      </c>
      <c r="H230" s="90"/>
      <c r="I230" s="90"/>
      <c r="J230" s="90"/>
      <c r="K230" s="289" t="str">
        <f>IF(ISBLANK(Warentransporte[[#This Row],[Wert 
(Zahl)]]),"", SUM(Warentransporte[[#This Row],[Scope 1 CO2e '[kg CO2e']]:[Scope 3 CO2e '[kg CO2e']]]))</f>
        <v/>
      </c>
      <c r="L230" s="289" t="str">
        <f>IF(OR(ISBLANK(Warentransporte[[#This Row],[Wert 
(Zahl)]]),Warentransporte[[#This Row],[Scope 3 Ergebnis Nicht-CO2 '[kg CO2e']]]=0),"",Warentransporte[[#This Row],[Scope 3 Ergebnis Nicht-CO2 '[kg CO2e']]])</f>
        <v/>
      </c>
      <c r="M230" s="408"/>
      <c r="N230" s="408"/>
      <c r="O230" s="15" t="str">
        <f>IF(ISBLANK(Warentransporte[[#This Row],[Emissionsquelle/Aktivität (Dropdown)]]),"",CONCATENATE(Warentransporte[[#This Row],[Sektor_Thema]]," - ",Warentransporte[[#This Row],[Emissionsquelle/Aktivität (Dropdown)]]))</f>
        <v/>
      </c>
      <c r="P230" s="15"/>
      <c r="Q230" s="15" t="str">
        <f>IFERROR(VLOOKUP(Warentransporte[[#This Row],[Thema_Bezeichung]],EFs_Warentransporte[],5,FALSE),"")</f>
        <v/>
      </c>
      <c r="R230" s="15" t="str">
        <f>IFERROR(VLOOKUP(Warentransporte[[#This Row],[Thema_Bezeichung]],EFs_Warentransporte[],6,FALSE),"")</f>
        <v/>
      </c>
      <c r="S230" s="15" t="str">
        <f>IFERROR(VLOOKUP(Warentransporte[[#This Row],[Thema_Bezeichung]],EFs_Warentransporte[],7,FALSE),"")</f>
        <v/>
      </c>
      <c r="T230" s="15" t="str">
        <f>IFERROR(VLOOKUP(Warentransporte[[#This Row],[Thema_Bezeichung]],EFs_Warentransporte[],8,FALSE),"")</f>
        <v/>
      </c>
      <c r="U230" s="15" t="str">
        <f>IFERROR(Warentransporte[[#This Row],[Wert 
(Zahl)]]*Warentransporte[[#This Row],[EF Scope 1 CO2e
(kg CO2e/Einheit)]],"")</f>
        <v/>
      </c>
      <c r="V230" s="15" t="str">
        <f>IFERROR(Warentransporte[[#This Row],[Wert 
(Zahl)]]*Warentransporte[[#This Row],[EF Scope 2 CO2e
(kg CO2e/Einheit)]],"")</f>
        <v/>
      </c>
      <c r="W230" s="15" t="str">
        <f>IFERROR(Warentransporte[[#This Row],[Wert 
(Zahl)]]*Warentransporte[[#This Row],[EF Scope 3 CO2e
(kg CO2e/Einheit)]],"")</f>
        <v/>
      </c>
      <c r="X230" s="15" t="str">
        <f>IFERROR(Warentransporte[[#This Row],[Wert 
(Zahl)]]*Warentransporte[[#This Row],[Scope 3 EF Nicht-CO2-Effekte '[kg CO2e/Einheit']]],"")</f>
        <v/>
      </c>
    </row>
    <row r="231" spans="2:72" s="89" customFormat="1" x14ac:dyDescent="0.35">
      <c r="B231" s="604"/>
      <c r="C231" s="10" t="str">
        <f t="shared" si="7"/>
        <v>Warentransporte</v>
      </c>
      <c r="D231" s="90"/>
      <c r="E231" s="90"/>
      <c r="F231" s="288"/>
      <c r="G231" s="10" t="str">
        <f>IFERROR(VLOOKUP(Warentransporte[[#This Row],[Thema_Bezeichung]],EFs_Warentransporte[],4,FALSE),"")</f>
        <v/>
      </c>
      <c r="H231" s="90"/>
      <c r="I231" s="90"/>
      <c r="J231" s="90"/>
      <c r="K231" s="289" t="str">
        <f>IF(ISBLANK(Warentransporte[[#This Row],[Wert 
(Zahl)]]),"", SUM(Warentransporte[[#This Row],[Scope 1 CO2e '[kg CO2e']]:[Scope 3 CO2e '[kg CO2e']]]))</f>
        <v/>
      </c>
      <c r="L231" s="289" t="str">
        <f>IF(OR(ISBLANK(Warentransporte[[#This Row],[Wert 
(Zahl)]]),Warentransporte[[#This Row],[Scope 3 Ergebnis Nicht-CO2 '[kg CO2e']]]=0),"",Warentransporte[[#This Row],[Scope 3 Ergebnis Nicht-CO2 '[kg CO2e']]])</f>
        <v/>
      </c>
      <c r="M231" s="408"/>
      <c r="N231" s="408"/>
      <c r="O231" s="15" t="str">
        <f>IF(ISBLANK(Warentransporte[[#This Row],[Emissionsquelle/Aktivität (Dropdown)]]),"",CONCATENATE(Warentransporte[[#This Row],[Sektor_Thema]]," - ",Warentransporte[[#This Row],[Emissionsquelle/Aktivität (Dropdown)]]))</f>
        <v/>
      </c>
      <c r="P231" s="15"/>
      <c r="Q231" s="15" t="str">
        <f>IFERROR(VLOOKUP(Warentransporte[[#This Row],[Thema_Bezeichung]],EFs_Warentransporte[],5,FALSE),"")</f>
        <v/>
      </c>
      <c r="R231" s="15" t="str">
        <f>IFERROR(VLOOKUP(Warentransporte[[#This Row],[Thema_Bezeichung]],EFs_Warentransporte[],6,FALSE),"")</f>
        <v/>
      </c>
      <c r="S231" s="15" t="str">
        <f>IFERROR(VLOOKUP(Warentransporte[[#This Row],[Thema_Bezeichung]],EFs_Warentransporte[],7,FALSE),"")</f>
        <v/>
      </c>
      <c r="T231" s="15" t="str">
        <f>IFERROR(VLOOKUP(Warentransporte[[#This Row],[Thema_Bezeichung]],EFs_Warentransporte[],8,FALSE),"")</f>
        <v/>
      </c>
      <c r="U231" s="15" t="str">
        <f>IFERROR(Warentransporte[[#This Row],[Wert 
(Zahl)]]*Warentransporte[[#This Row],[EF Scope 1 CO2e
(kg CO2e/Einheit)]],"")</f>
        <v/>
      </c>
      <c r="V231" s="15" t="str">
        <f>IFERROR(Warentransporte[[#This Row],[Wert 
(Zahl)]]*Warentransporte[[#This Row],[EF Scope 2 CO2e
(kg CO2e/Einheit)]],"")</f>
        <v/>
      </c>
      <c r="W231" s="15" t="str">
        <f>IFERROR(Warentransporte[[#This Row],[Wert 
(Zahl)]]*Warentransporte[[#This Row],[EF Scope 3 CO2e
(kg CO2e/Einheit)]],"")</f>
        <v/>
      </c>
      <c r="X231" s="15" t="str">
        <f>IFERROR(Warentransporte[[#This Row],[Wert 
(Zahl)]]*Warentransporte[[#This Row],[Scope 3 EF Nicht-CO2-Effekte '[kg CO2e/Einheit']]],"")</f>
        <v/>
      </c>
    </row>
    <row r="232" spans="2:72" s="89" customFormat="1" x14ac:dyDescent="0.35">
      <c r="B232" s="604"/>
      <c r="C232" s="10" t="str">
        <f t="shared" si="7"/>
        <v>Warentransporte</v>
      </c>
      <c r="D232" s="90"/>
      <c r="E232" s="90"/>
      <c r="F232" s="288"/>
      <c r="G232" s="10" t="str">
        <f>IFERROR(VLOOKUP(Warentransporte[[#This Row],[Thema_Bezeichung]],EFs_Warentransporte[],4,FALSE),"")</f>
        <v/>
      </c>
      <c r="H232" s="90"/>
      <c r="I232" s="90"/>
      <c r="J232" s="90"/>
      <c r="K232" s="289" t="str">
        <f>IF(ISBLANK(Warentransporte[[#This Row],[Wert 
(Zahl)]]),"", SUM(Warentransporte[[#This Row],[Scope 1 CO2e '[kg CO2e']]:[Scope 3 CO2e '[kg CO2e']]]))</f>
        <v/>
      </c>
      <c r="L232" s="289" t="str">
        <f>IF(OR(ISBLANK(Warentransporte[[#This Row],[Wert 
(Zahl)]]),Warentransporte[[#This Row],[Scope 3 Ergebnis Nicht-CO2 '[kg CO2e']]]=0),"",Warentransporte[[#This Row],[Scope 3 Ergebnis Nicht-CO2 '[kg CO2e']]])</f>
        <v/>
      </c>
      <c r="M232" s="408"/>
      <c r="N232" s="408"/>
      <c r="O232" s="15" t="str">
        <f>IF(ISBLANK(Warentransporte[[#This Row],[Emissionsquelle/Aktivität (Dropdown)]]),"",CONCATENATE(Warentransporte[[#This Row],[Sektor_Thema]]," - ",Warentransporte[[#This Row],[Emissionsquelle/Aktivität (Dropdown)]]))</f>
        <v/>
      </c>
      <c r="P232" s="15"/>
      <c r="Q232" s="15" t="str">
        <f>IFERROR(VLOOKUP(Warentransporte[[#This Row],[Thema_Bezeichung]],EFs_Warentransporte[],5,FALSE),"")</f>
        <v/>
      </c>
      <c r="R232" s="15" t="str">
        <f>IFERROR(VLOOKUP(Warentransporte[[#This Row],[Thema_Bezeichung]],EFs_Warentransporte[],6,FALSE),"")</f>
        <v/>
      </c>
      <c r="S232" s="15" t="str">
        <f>IFERROR(VLOOKUP(Warentransporte[[#This Row],[Thema_Bezeichung]],EFs_Warentransporte[],7,FALSE),"")</f>
        <v/>
      </c>
      <c r="T232" s="15" t="str">
        <f>IFERROR(VLOOKUP(Warentransporte[[#This Row],[Thema_Bezeichung]],EFs_Warentransporte[],8,FALSE),"")</f>
        <v/>
      </c>
      <c r="U232" s="15" t="str">
        <f>IFERROR(Warentransporte[[#This Row],[Wert 
(Zahl)]]*Warentransporte[[#This Row],[EF Scope 1 CO2e
(kg CO2e/Einheit)]],"")</f>
        <v/>
      </c>
      <c r="V232" s="15" t="str">
        <f>IFERROR(Warentransporte[[#This Row],[Wert 
(Zahl)]]*Warentransporte[[#This Row],[EF Scope 2 CO2e
(kg CO2e/Einheit)]],"")</f>
        <v/>
      </c>
      <c r="W232" s="15" t="str">
        <f>IFERROR(Warentransporte[[#This Row],[Wert 
(Zahl)]]*Warentransporte[[#This Row],[EF Scope 3 CO2e
(kg CO2e/Einheit)]],"")</f>
        <v/>
      </c>
      <c r="X232" s="15" t="str">
        <f>IFERROR(Warentransporte[[#This Row],[Wert 
(Zahl)]]*Warentransporte[[#This Row],[Scope 3 EF Nicht-CO2-Effekte '[kg CO2e/Einheit']]],"")</f>
        <v/>
      </c>
    </row>
    <row r="233" spans="2:72" s="89" customFormat="1" x14ac:dyDescent="0.35">
      <c r="B233" s="604"/>
      <c r="C233" s="10" t="str">
        <f t="shared" si="7"/>
        <v>Warentransporte</v>
      </c>
      <c r="D233" s="90"/>
      <c r="E233" s="90"/>
      <c r="F233" s="288"/>
      <c r="G233" s="10" t="str">
        <f>IFERROR(VLOOKUP(Warentransporte[[#This Row],[Thema_Bezeichung]],EFs_Warentransporte[],4,FALSE),"")</f>
        <v/>
      </c>
      <c r="H233" s="90"/>
      <c r="I233" s="90"/>
      <c r="J233" s="90"/>
      <c r="K233" s="289" t="str">
        <f>IF(ISBLANK(Warentransporte[[#This Row],[Wert 
(Zahl)]]),"", SUM(Warentransporte[[#This Row],[Scope 1 CO2e '[kg CO2e']]:[Scope 3 CO2e '[kg CO2e']]]))</f>
        <v/>
      </c>
      <c r="L233" s="289" t="str">
        <f>IF(OR(ISBLANK(Warentransporte[[#This Row],[Wert 
(Zahl)]]),Warentransporte[[#This Row],[Scope 3 Ergebnis Nicht-CO2 '[kg CO2e']]]=0),"",Warentransporte[[#This Row],[Scope 3 Ergebnis Nicht-CO2 '[kg CO2e']]])</f>
        <v/>
      </c>
      <c r="M233" s="408"/>
      <c r="N233" s="408"/>
      <c r="O233" s="15" t="str">
        <f>IF(ISBLANK(Warentransporte[[#This Row],[Emissionsquelle/Aktivität (Dropdown)]]),"",CONCATENATE(Warentransporte[[#This Row],[Sektor_Thema]]," - ",Warentransporte[[#This Row],[Emissionsquelle/Aktivität (Dropdown)]]))</f>
        <v/>
      </c>
      <c r="P233" s="15"/>
      <c r="Q233" s="15" t="str">
        <f>IFERROR(VLOOKUP(Warentransporte[[#This Row],[Thema_Bezeichung]],EFs_Warentransporte[],5,FALSE),"")</f>
        <v/>
      </c>
      <c r="R233" s="15" t="str">
        <f>IFERROR(VLOOKUP(Warentransporte[[#This Row],[Thema_Bezeichung]],EFs_Warentransporte[],6,FALSE),"")</f>
        <v/>
      </c>
      <c r="S233" s="15" t="str">
        <f>IFERROR(VLOOKUP(Warentransporte[[#This Row],[Thema_Bezeichung]],EFs_Warentransporte[],7,FALSE),"")</f>
        <v/>
      </c>
      <c r="T233" s="15" t="str">
        <f>IFERROR(VLOOKUP(Warentransporte[[#This Row],[Thema_Bezeichung]],EFs_Warentransporte[],8,FALSE),"")</f>
        <v/>
      </c>
      <c r="U233" s="15" t="str">
        <f>IFERROR(Warentransporte[[#This Row],[Wert 
(Zahl)]]*Warentransporte[[#This Row],[EF Scope 1 CO2e
(kg CO2e/Einheit)]],"")</f>
        <v/>
      </c>
      <c r="V233" s="15" t="str">
        <f>IFERROR(Warentransporte[[#This Row],[Wert 
(Zahl)]]*Warentransporte[[#This Row],[EF Scope 2 CO2e
(kg CO2e/Einheit)]],"")</f>
        <v/>
      </c>
      <c r="W233" s="15" t="str">
        <f>IFERROR(Warentransporte[[#This Row],[Wert 
(Zahl)]]*Warentransporte[[#This Row],[EF Scope 3 CO2e
(kg CO2e/Einheit)]],"")</f>
        <v/>
      </c>
      <c r="X233" s="15" t="str">
        <f>IFERROR(Warentransporte[[#This Row],[Wert 
(Zahl)]]*Warentransporte[[#This Row],[Scope 3 EF Nicht-CO2-Effekte '[kg CO2e/Einheit']]],"")</f>
        <v/>
      </c>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row>
    <row r="234" spans="2:72" s="89" customFormat="1" x14ac:dyDescent="0.35">
      <c r="B234" s="604"/>
      <c r="C234" s="10" t="str">
        <f t="shared" si="7"/>
        <v>Warentransporte</v>
      </c>
      <c r="D234" s="90"/>
      <c r="E234" s="90"/>
      <c r="F234" s="288"/>
      <c r="G234" s="10" t="str">
        <f>IFERROR(VLOOKUP(Warentransporte[[#This Row],[Thema_Bezeichung]],EFs_Warentransporte[],4,FALSE),"")</f>
        <v/>
      </c>
      <c r="H234" s="90"/>
      <c r="I234" s="90"/>
      <c r="J234" s="90"/>
      <c r="K234" s="289" t="str">
        <f>IF(ISBLANK(Warentransporte[[#This Row],[Wert 
(Zahl)]]),"", SUM(Warentransporte[[#This Row],[Scope 1 CO2e '[kg CO2e']]:[Scope 3 CO2e '[kg CO2e']]]))</f>
        <v/>
      </c>
      <c r="L234" s="289" t="str">
        <f>IF(OR(ISBLANK(Warentransporte[[#This Row],[Wert 
(Zahl)]]),Warentransporte[[#This Row],[Scope 3 Ergebnis Nicht-CO2 '[kg CO2e']]]=0),"",Warentransporte[[#This Row],[Scope 3 Ergebnis Nicht-CO2 '[kg CO2e']]])</f>
        <v/>
      </c>
      <c r="M234" s="408"/>
      <c r="N234" s="408"/>
      <c r="O234" s="15" t="str">
        <f>IF(ISBLANK(Warentransporte[[#This Row],[Emissionsquelle/Aktivität (Dropdown)]]),"",CONCATENATE(Warentransporte[[#This Row],[Sektor_Thema]]," - ",Warentransporte[[#This Row],[Emissionsquelle/Aktivität (Dropdown)]]))</f>
        <v/>
      </c>
      <c r="P234" s="15"/>
      <c r="Q234" s="15" t="str">
        <f>IFERROR(VLOOKUP(Warentransporte[[#This Row],[Thema_Bezeichung]],EFs_Warentransporte[],5,FALSE),"")</f>
        <v/>
      </c>
      <c r="R234" s="15" t="str">
        <f>IFERROR(VLOOKUP(Warentransporte[[#This Row],[Thema_Bezeichung]],EFs_Warentransporte[],6,FALSE),"")</f>
        <v/>
      </c>
      <c r="S234" s="15" t="str">
        <f>IFERROR(VLOOKUP(Warentransporte[[#This Row],[Thema_Bezeichung]],EFs_Warentransporte[],7,FALSE),"")</f>
        <v/>
      </c>
      <c r="T234" s="15" t="str">
        <f>IFERROR(VLOOKUP(Warentransporte[[#This Row],[Thema_Bezeichung]],EFs_Warentransporte[],8,FALSE),"")</f>
        <v/>
      </c>
      <c r="U234" s="15" t="str">
        <f>IFERROR(Warentransporte[[#This Row],[Wert 
(Zahl)]]*Warentransporte[[#This Row],[EF Scope 1 CO2e
(kg CO2e/Einheit)]],"")</f>
        <v/>
      </c>
      <c r="V234" s="15" t="str">
        <f>IFERROR(Warentransporte[[#This Row],[Wert 
(Zahl)]]*Warentransporte[[#This Row],[EF Scope 2 CO2e
(kg CO2e/Einheit)]],"")</f>
        <v/>
      </c>
      <c r="W234" s="15" t="str">
        <f>IFERROR(Warentransporte[[#This Row],[Wert 
(Zahl)]]*Warentransporte[[#This Row],[EF Scope 3 CO2e
(kg CO2e/Einheit)]],"")</f>
        <v/>
      </c>
      <c r="X234" s="15" t="str">
        <f>IFERROR(Warentransporte[[#This Row],[Wert 
(Zahl)]]*Warentransporte[[#This Row],[Scope 3 EF Nicht-CO2-Effekte '[kg CO2e/Einheit']]],"")</f>
        <v/>
      </c>
      <c r="AS234"/>
      <c r="AT234"/>
      <c r="AU234"/>
      <c r="AV234"/>
      <c r="AW234"/>
      <c r="AX234"/>
      <c r="AY234"/>
      <c r="AZ234"/>
      <c r="BA234"/>
      <c r="BB234"/>
      <c r="BC234"/>
      <c r="BD234"/>
      <c r="BE234"/>
      <c r="BF234"/>
      <c r="BG234"/>
      <c r="BH234"/>
      <c r="BI234"/>
      <c r="BJ234"/>
      <c r="BK234"/>
      <c r="BL234"/>
      <c r="BM234"/>
      <c r="BN234"/>
      <c r="BO234"/>
      <c r="BP234"/>
      <c r="BQ234"/>
      <c r="BR234"/>
      <c r="BS234"/>
      <c r="BT234"/>
    </row>
    <row r="235" spans="2:72" s="89" customFormat="1" x14ac:dyDescent="0.35">
      <c r="B235" s="604"/>
      <c r="C235" s="10" t="str">
        <f t="shared" si="7"/>
        <v>Warentransporte</v>
      </c>
      <c r="D235" s="90"/>
      <c r="E235" s="90"/>
      <c r="F235" s="288"/>
      <c r="G235" s="10" t="str">
        <f>IFERROR(VLOOKUP(Warentransporte[[#This Row],[Thema_Bezeichung]],EFs_Warentransporte[],4,FALSE),"")</f>
        <v/>
      </c>
      <c r="H235" s="90"/>
      <c r="I235" s="90"/>
      <c r="J235" s="90"/>
      <c r="K235" s="289" t="str">
        <f>IF(ISBLANK(Warentransporte[[#This Row],[Wert 
(Zahl)]]),"", SUM(Warentransporte[[#This Row],[Scope 1 CO2e '[kg CO2e']]:[Scope 3 CO2e '[kg CO2e']]]))</f>
        <v/>
      </c>
      <c r="L235" s="289" t="str">
        <f>IF(OR(ISBLANK(Warentransporte[[#This Row],[Wert 
(Zahl)]]),Warentransporte[[#This Row],[Scope 3 Ergebnis Nicht-CO2 '[kg CO2e']]]=0),"",Warentransporte[[#This Row],[Scope 3 Ergebnis Nicht-CO2 '[kg CO2e']]])</f>
        <v/>
      </c>
      <c r="M235" s="408"/>
      <c r="N235" s="408"/>
      <c r="O235" s="15" t="str">
        <f>IF(ISBLANK(Warentransporte[[#This Row],[Emissionsquelle/Aktivität (Dropdown)]]),"",CONCATENATE(Warentransporte[[#This Row],[Sektor_Thema]]," - ",Warentransporte[[#This Row],[Emissionsquelle/Aktivität (Dropdown)]]))</f>
        <v/>
      </c>
      <c r="P235" s="15"/>
      <c r="Q235" s="15" t="str">
        <f>IFERROR(VLOOKUP(Warentransporte[[#This Row],[Thema_Bezeichung]],EFs_Warentransporte[],5,FALSE),"")</f>
        <v/>
      </c>
      <c r="R235" s="15" t="str">
        <f>IFERROR(VLOOKUP(Warentransporte[[#This Row],[Thema_Bezeichung]],EFs_Warentransporte[],6,FALSE),"")</f>
        <v/>
      </c>
      <c r="S235" s="15" t="str">
        <f>IFERROR(VLOOKUP(Warentransporte[[#This Row],[Thema_Bezeichung]],EFs_Warentransporte[],7,FALSE),"")</f>
        <v/>
      </c>
      <c r="T235" s="15" t="str">
        <f>IFERROR(VLOOKUP(Warentransporte[[#This Row],[Thema_Bezeichung]],EFs_Warentransporte[],8,FALSE),"")</f>
        <v/>
      </c>
      <c r="U235" s="15" t="str">
        <f>IFERROR(Warentransporte[[#This Row],[Wert 
(Zahl)]]*Warentransporte[[#This Row],[EF Scope 1 CO2e
(kg CO2e/Einheit)]],"")</f>
        <v/>
      </c>
      <c r="V235" s="15" t="str">
        <f>IFERROR(Warentransporte[[#This Row],[Wert 
(Zahl)]]*Warentransporte[[#This Row],[EF Scope 2 CO2e
(kg CO2e/Einheit)]],"")</f>
        <v/>
      </c>
      <c r="W235" s="15" t="str">
        <f>IFERROR(Warentransporte[[#This Row],[Wert 
(Zahl)]]*Warentransporte[[#This Row],[EF Scope 3 CO2e
(kg CO2e/Einheit)]],"")</f>
        <v/>
      </c>
      <c r="X235" s="15" t="str">
        <f>IFERROR(Warentransporte[[#This Row],[Wert 
(Zahl)]]*Warentransporte[[#This Row],[Scope 3 EF Nicht-CO2-Effekte '[kg CO2e/Einheit']]],"")</f>
        <v/>
      </c>
      <c r="AS235"/>
      <c r="AT235"/>
      <c r="AU235"/>
      <c r="AV235"/>
      <c r="AW235"/>
      <c r="AX235"/>
      <c r="AY235"/>
      <c r="AZ235"/>
      <c r="BA235"/>
      <c r="BB235"/>
      <c r="BC235"/>
      <c r="BD235"/>
      <c r="BE235"/>
      <c r="BF235"/>
      <c r="BG235"/>
      <c r="BH235"/>
      <c r="BI235"/>
      <c r="BJ235"/>
      <c r="BK235"/>
      <c r="BL235"/>
      <c r="BM235"/>
      <c r="BN235"/>
      <c r="BO235"/>
      <c r="BP235"/>
      <c r="BQ235"/>
      <c r="BR235"/>
      <c r="BS235"/>
      <c r="BT235"/>
    </row>
    <row r="236" spans="2:72" s="89" customFormat="1" x14ac:dyDescent="0.35">
      <c r="B236" s="604"/>
      <c r="C236" s="90" t="str">
        <f t="shared" si="7"/>
        <v>Warentransporte</v>
      </c>
      <c r="D236" s="90"/>
      <c r="E236" s="90"/>
      <c r="F236" s="288"/>
      <c r="G236" s="90" t="str">
        <f>IFERROR(VLOOKUP(Warentransporte[[#This Row],[Thema_Bezeichung]],EFs_Warentransporte[],4,FALSE),"")</f>
        <v/>
      </c>
      <c r="H236" s="90"/>
      <c r="I236" s="90"/>
      <c r="J236" s="90"/>
      <c r="K236" s="290" t="str">
        <f>IF(ISBLANK(Warentransporte[[#This Row],[Wert 
(Zahl)]]),"", SUM(Warentransporte[[#This Row],[Scope 1 CO2e '[kg CO2e']]:[Scope 3 CO2e '[kg CO2e']]]))</f>
        <v/>
      </c>
      <c r="L236" s="290" t="str">
        <f>IF(OR(ISBLANK(Warentransporte[[#This Row],[Wert 
(Zahl)]]),Warentransporte[[#This Row],[Scope 3 Ergebnis Nicht-CO2 '[kg CO2e']]]=0),"",Warentransporte[[#This Row],[Scope 3 Ergebnis Nicht-CO2 '[kg CO2e']]])</f>
        <v/>
      </c>
      <c r="M236" s="409"/>
      <c r="N236" s="409"/>
      <c r="O236" s="94" t="str">
        <f>IF(ISBLANK(Warentransporte[[#This Row],[Emissionsquelle/Aktivität (Dropdown)]]),"",CONCATENATE(Warentransporte[[#This Row],[Sektor_Thema]]," - ",Warentransporte[[#This Row],[Emissionsquelle/Aktivität (Dropdown)]]))</f>
        <v/>
      </c>
      <c r="P236" s="94"/>
      <c r="Q236" s="94" t="str">
        <f>IFERROR(VLOOKUP(Warentransporte[[#This Row],[Thema_Bezeichung]],EFs_Warentransporte[],5,FALSE),"")</f>
        <v/>
      </c>
      <c r="R236" s="94" t="str">
        <f>IFERROR(VLOOKUP(Warentransporte[[#This Row],[Thema_Bezeichung]],EFs_Warentransporte[],6,FALSE),"")</f>
        <v/>
      </c>
      <c r="S236" s="94" t="str">
        <f>IFERROR(VLOOKUP(Warentransporte[[#This Row],[Thema_Bezeichung]],EFs_Warentransporte[],7,FALSE),"")</f>
        <v/>
      </c>
      <c r="T236" s="94" t="str">
        <f>IFERROR(VLOOKUP(Warentransporte[[#This Row],[Thema_Bezeichung]],EFs_Warentransporte[],8,FALSE),"")</f>
        <v/>
      </c>
      <c r="U236" s="94" t="str">
        <f>IFERROR(Warentransporte[[#This Row],[Wert 
(Zahl)]]*Warentransporte[[#This Row],[EF Scope 1 CO2e
(kg CO2e/Einheit)]],"")</f>
        <v/>
      </c>
      <c r="V236" s="94" t="str">
        <f>IFERROR(Warentransporte[[#This Row],[Wert 
(Zahl)]]*Warentransporte[[#This Row],[EF Scope 2 CO2e
(kg CO2e/Einheit)]],"")</f>
        <v/>
      </c>
      <c r="W236" s="94" t="str">
        <f>IFERROR(Warentransporte[[#This Row],[Wert 
(Zahl)]]*Warentransporte[[#This Row],[EF Scope 3 CO2e
(kg CO2e/Einheit)]],"")</f>
        <v/>
      </c>
      <c r="X236" s="94" t="str">
        <f>IFERROR(Warentransporte[[#This Row],[Wert 
(Zahl)]]*Warentransporte[[#This Row],[Scope 3 EF Nicht-CO2-Effekte '[kg CO2e/Einheit']]],"")</f>
        <v/>
      </c>
      <c r="AS236"/>
      <c r="AT236"/>
      <c r="AU236"/>
      <c r="AV236"/>
      <c r="AW236"/>
      <c r="AX236"/>
      <c r="AY236"/>
      <c r="AZ236"/>
      <c r="BA236"/>
      <c r="BB236"/>
      <c r="BC236"/>
      <c r="BD236"/>
      <c r="BE236"/>
      <c r="BF236"/>
      <c r="BG236"/>
      <c r="BH236"/>
      <c r="BI236"/>
      <c r="BJ236"/>
      <c r="BK236"/>
      <c r="BL236"/>
      <c r="BM236"/>
      <c r="BN236"/>
      <c r="BO236"/>
      <c r="BP236"/>
      <c r="BQ236"/>
      <c r="BR236"/>
      <c r="BS236"/>
      <c r="BT236"/>
    </row>
    <row r="237" spans="2:72" s="89" customFormat="1" ht="15" thickBot="1" x14ac:dyDescent="0.4">
      <c r="B237" s="605"/>
      <c r="C237" s="90" t="str">
        <f t="shared" si="7"/>
        <v>Warentransporte</v>
      </c>
      <c r="D237" s="90"/>
      <c r="E237" s="90"/>
      <c r="F237" s="288"/>
      <c r="G237" s="90" t="str">
        <f>IFERROR(VLOOKUP(Warentransporte[[#This Row],[Thema_Bezeichung]],EFs_Warentransporte[],4,FALSE),"")</f>
        <v/>
      </c>
      <c r="H237" s="90"/>
      <c r="I237" s="90"/>
      <c r="J237" s="90"/>
      <c r="K237" s="290" t="str">
        <f>IF(ISBLANK(Warentransporte[[#This Row],[Wert 
(Zahl)]]),"", SUM(Warentransporte[[#This Row],[Scope 1 CO2e '[kg CO2e']]:[Scope 3 CO2e '[kg CO2e']]]))</f>
        <v/>
      </c>
      <c r="L237" s="290" t="str">
        <f>IF(OR(ISBLANK(Warentransporte[[#This Row],[Wert 
(Zahl)]]),Warentransporte[[#This Row],[Scope 3 Ergebnis Nicht-CO2 '[kg CO2e']]]=0),"",Warentransporte[[#This Row],[Scope 3 Ergebnis Nicht-CO2 '[kg CO2e']]])</f>
        <v/>
      </c>
      <c r="M237" s="409"/>
      <c r="N237" s="409"/>
      <c r="O237" s="94" t="str">
        <f>IF(ISBLANK(Warentransporte[[#This Row],[Emissionsquelle/Aktivität (Dropdown)]]),"",CONCATENATE(Warentransporte[[#This Row],[Sektor_Thema]]," - ",Warentransporte[[#This Row],[Emissionsquelle/Aktivität (Dropdown)]]))</f>
        <v/>
      </c>
      <c r="P237" s="94"/>
      <c r="Q237" s="94" t="str">
        <f>IFERROR(VLOOKUP(Warentransporte[[#This Row],[Thema_Bezeichung]],EFs_Warentransporte[],5,FALSE),"")</f>
        <v/>
      </c>
      <c r="R237" s="94" t="str">
        <f>IFERROR(VLOOKUP(Warentransporte[[#This Row],[Thema_Bezeichung]],EFs_Warentransporte[],6,FALSE),"")</f>
        <v/>
      </c>
      <c r="S237" s="94" t="str">
        <f>IFERROR(VLOOKUP(Warentransporte[[#This Row],[Thema_Bezeichung]],EFs_Warentransporte[],7,FALSE),"")</f>
        <v/>
      </c>
      <c r="T237" s="94" t="str">
        <f>IFERROR(VLOOKUP(Warentransporte[[#This Row],[Thema_Bezeichung]],EFs_Warentransporte[],8,FALSE),"")</f>
        <v/>
      </c>
      <c r="U237" s="94" t="str">
        <f>IFERROR(Warentransporte[[#This Row],[Wert 
(Zahl)]]*Warentransporte[[#This Row],[EF Scope 1 CO2e
(kg CO2e/Einheit)]],"")</f>
        <v/>
      </c>
      <c r="V237" s="94" t="str">
        <f>IFERROR(Warentransporte[[#This Row],[Wert 
(Zahl)]]*Warentransporte[[#This Row],[EF Scope 2 CO2e
(kg CO2e/Einheit)]],"")</f>
        <v/>
      </c>
      <c r="W237" s="94" t="str">
        <f>IFERROR(Warentransporte[[#This Row],[Wert 
(Zahl)]]*Warentransporte[[#This Row],[EF Scope 3 CO2e
(kg CO2e/Einheit)]],"")</f>
        <v/>
      </c>
      <c r="X237" s="94" t="str">
        <f>IFERROR(Warentransporte[[#This Row],[Wert 
(Zahl)]]*Warentransporte[[#This Row],[Scope 3 EF Nicht-CO2-Effekte '[kg CO2e/Einheit']]],"")</f>
        <v/>
      </c>
      <c r="AS237"/>
      <c r="AT237"/>
      <c r="AU237"/>
      <c r="AV237"/>
      <c r="AW237"/>
      <c r="AX237"/>
      <c r="AY237"/>
      <c r="AZ237"/>
      <c r="BA237"/>
      <c r="BB237"/>
      <c r="BC237"/>
      <c r="BD237"/>
      <c r="BE237"/>
      <c r="BF237"/>
      <c r="BG237"/>
      <c r="BH237"/>
      <c r="BI237"/>
      <c r="BJ237"/>
      <c r="BK237"/>
      <c r="BL237"/>
      <c r="BM237"/>
      <c r="BN237"/>
      <c r="BO237"/>
      <c r="BP237"/>
      <c r="BQ237"/>
      <c r="BR237"/>
      <c r="BS237"/>
      <c r="BT237"/>
    </row>
    <row r="238" spans="2:72" s="2" customFormat="1" ht="15" thickTop="1" x14ac:dyDescent="0.35">
      <c r="B238" s="13"/>
      <c r="D238" s="333" t="s">
        <v>204</v>
      </c>
      <c r="E238" s="333"/>
      <c r="F238" s="333"/>
      <c r="G238" s="333"/>
      <c r="H238" s="333"/>
      <c r="I238" s="333"/>
      <c r="J238" s="333"/>
      <c r="K238" s="291">
        <f>SUBTOTAL(109,Warentransporte[Ergebnis '[kg CO2e'] (vorausgefüllt)])</f>
        <v>0</v>
      </c>
      <c r="L238" s="713">
        <f>SUBTOTAL(109,Warentransporte[Nicht-CO2-Effekte '[kg CO2e'] (vorausgefüllt)])</f>
        <v>0</v>
      </c>
      <c r="M238" s="162"/>
      <c r="N238" s="162"/>
      <c r="U238" s="2">
        <f>SUBTOTAL(109,Warentransporte[Scope 1 CO2e '[kg CO2e']])</f>
        <v>0</v>
      </c>
      <c r="V238" s="2">
        <f>SUBTOTAL(109,Warentransporte[Scope 2 CO2e '[kg CO2e']])</f>
        <v>0</v>
      </c>
      <c r="W238" s="2">
        <f>SUBTOTAL(109,Warentransporte[Scope 3 CO2e '[kg CO2e']])</f>
        <v>0</v>
      </c>
      <c r="X238" s="2">
        <f>SUBTOTAL(109,Warentransporte[Scope 3 Ergebnis Nicht-CO2 '[kg CO2e']])</f>
        <v>0</v>
      </c>
      <c r="AS238"/>
      <c r="AT238"/>
      <c r="AU238"/>
      <c r="AV238"/>
      <c r="AW238"/>
      <c r="AX238"/>
      <c r="AY238"/>
      <c r="AZ238"/>
      <c r="BA238"/>
      <c r="BB238"/>
      <c r="BC238"/>
      <c r="BD238"/>
      <c r="BE238"/>
      <c r="BF238"/>
      <c r="BG238"/>
      <c r="BH238"/>
      <c r="BI238"/>
      <c r="BJ238"/>
      <c r="BK238"/>
      <c r="BL238"/>
      <c r="BM238"/>
      <c r="BN238"/>
      <c r="BO238"/>
      <c r="BP238"/>
      <c r="BQ238"/>
      <c r="BR238"/>
      <c r="BS238"/>
      <c r="BT238"/>
    </row>
    <row r="239" spans="2:72" ht="120" customHeight="1" x14ac:dyDescent="0.35">
      <c r="B239" s="183" t="s">
        <v>79</v>
      </c>
      <c r="C239" s="81"/>
      <c r="D239" s="81"/>
      <c r="E239" s="11"/>
      <c r="F239" s="11"/>
      <c r="G239" s="11"/>
      <c r="H239" s="11"/>
      <c r="I239" s="11"/>
      <c r="L239" s="161"/>
    </row>
    <row r="240" spans="2:72" x14ac:dyDescent="0.35">
      <c r="AP240" s="89"/>
      <c r="AQ240" s="89"/>
      <c r="AR240" s="89"/>
      <c r="AS240" s="89"/>
      <c r="AT240" s="89"/>
      <c r="AU240" s="89"/>
      <c r="AV240" s="89"/>
      <c r="AW240" s="89"/>
      <c r="AX240" s="89"/>
      <c r="AY240" s="89"/>
      <c r="AZ240" s="89"/>
      <c r="BA240" s="89"/>
      <c r="BB240" s="89"/>
      <c r="BC240" s="89"/>
      <c r="BD240" s="89"/>
      <c r="BE240" s="89"/>
      <c r="BF240" s="89"/>
      <c r="BG240" s="89"/>
      <c r="BH240" s="89"/>
      <c r="BI240" s="89"/>
      <c r="BJ240" s="89"/>
      <c r="BK240" s="89"/>
      <c r="BL240" s="89"/>
      <c r="BM240" s="89"/>
      <c r="BN240" s="89"/>
      <c r="BO240" s="89"/>
      <c r="BP240" s="89"/>
      <c r="BQ240" s="89"/>
    </row>
    <row r="241" spans="42:69" x14ac:dyDescent="0.35">
      <c r="AP241" s="89"/>
      <c r="AQ241" s="89"/>
      <c r="AR241" s="89"/>
      <c r="AS241" s="89"/>
      <c r="AT241" s="89"/>
      <c r="AU241" s="89"/>
      <c r="AV241" s="89"/>
      <c r="AW241" s="89"/>
      <c r="AX241" s="89"/>
      <c r="AY241" s="89"/>
      <c r="AZ241" s="89"/>
      <c r="BA241" s="89"/>
      <c r="BB241" s="89"/>
      <c r="BC241" s="89"/>
      <c r="BD241" s="89"/>
      <c r="BE241" s="89"/>
      <c r="BF241" s="89"/>
      <c r="BG241" s="89"/>
      <c r="BH241" s="89"/>
      <c r="BI241" s="89"/>
      <c r="BJ241" s="89"/>
      <c r="BK241" s="89"/>
      <c r="BL241" s="89"/>
      <c r="BM241" s="89"/>
      <c r="BN241" s="89"/>
      <c r="BO241" s="89"/>
      <c r="BP241" s="89"/>
      <c r="BQ241" s="89"/>
    </row>
    <row r="242" spans="42:69" x14ac:dyDescent="0.35">
      <c r="AP242" s="89"/>
      <c r="AQ242" s="89"/>
      <c r="AR242" s="89"/>
      <c r="AS242" s="89"/>
      <c r="AT242" s="89"/>
      <c r="AU242" s="89"/>
      <c r="AV242" s="89"/>
      <c r="AW242" s="89"/>
      <c r="AX242" s="89"/>
      <c r="AY242" s="89"/>
      <c r="AZ242" s="89"/>
      <c r="BA242" s="89"/>
      <c r="BB242" s="89"/>
      <c r="BC242" s="89"/>
      <c r="BD242" s="89"/>
      <c r="BE242" s="89"/>
      <c r="BF242" s="89"/>
      <c r="BG242" s="89"/>
      <c r="BH242" s="89"/>
      <c r="BI242" s="89"/>
      <c r="BJ242" s="89"/>
      <c r="BK242" s="89"/>
      <c r="BL242" s="89"/>
      <c r="BM242" s="89"/>
      <c r="BN242" s="89"/>
      <c r="BO242" s="89"/>
      <c r="BP242" s="89"/>
      <c r="BQ242" s="89"/>
    </row>
    <row r="243" spans="42:69" x14ac:dyDescent="0.35">
      <c r="AP243" s="89"/>
      <c r="AQ243" s="89"/>
      <c r="AR243" s="89"/>
      <c r="AS243" s="89"/>
      <c r="AT243" s="89"/>
      <c r="AU243" s="89"/>
      <c r="AV243" s="89"/>
      <c r="AW243" s="89"/>
      <c r="AX243" s="89"/>
      <c r="AY243" s="89"/>
      <c r="AZ243" s="89"/>
      <c r="BA243" s="89"/>
      <c r="BB243" s="89"/>
      <c r="BC243" s="89"/>
      <c r="BD243" s="89"/>
      <c r="BE243" s="89"/>
      <c r="BF243" s="89"/>
      <c r="BG243" s="89"/>
      <c r="BH243" s="89"/>
      <c r="BI243" s="89"/>
      <c r="BJ243" s="89"/>
      <c r="BK243" s="89"/>
      <c r="BL243" s="89"/>
      <c r="BM243" s="89"/>
      <c r="BN243" s="89"/>
      <c r="BO243" s="89"/>
      <c r="BP243" s="89"/>
      <c r="BQ243" s="89"/>
    </row>
    <row r="244" spans="42:69" x14ac:dyDescent="0.35">
      <c r="AP244" s="89"/>
      <c r="AQ244" s="89"/>
      <c r="AR244" s="89"/>
      <c r="AS244" s="89"/>
      <c r="AT244" s="89"/>
      <c r="AU244" s="89"/>
      <c r="AV244" s="89"/>
      <c r="AW244" s="89"/>
      <c r="AX244" s="89"/>
      <c r="AY244" s="89"/>
      <c r="AZ244" s="89"/>
      <c r="BA244" s="89"/>
      <c r="BB244" s="89"/>
      <c r="BC244" s="89"/>
      <c r="BD244" s="89"/>
      <c r="BE244" s="89"/>
      <c r="BF244" s="89"/>
      <c r="BG244" s="89"/>
      <c r="BH244" s="89"/>
      <c r="BI244" s="89"/>
      <c r="BJ244" s="89"/>
      <c r="BK244" s="89"/>
      <c r="BL244" s="89"/>
      <c r="BM244" s="89"/>
      <c r="BN244" s="89"/>
      <c r="BO244" s="89"/>
      <c r="BP244" s="89"/>
      <c r="BQ244" s="89"/>
    </row>
    <row r="245" spans="42:69" x14ac:dyDescent="0.35">
      <c r="AP245" s="89"/>
      <c r="AQ245" s="89"/>
      <c r="AR245" s="89"/>
      <c r="AS245" s="89"/>
      <c r="AT245" s="89"/>
      <c r="AU245" s="89"/>
      <c r="AV245" s="89"/>
      <c r="AW245" s="89"/>
      <c r="AX245" s="89"/>
      <c r="AY245" s="89"/>
      <c r="AZ245" s="89"/>
      <c r="BA245" s="89"/>
      <c r="BB245" s="89"/>
      <c r="BC245" s="89"/>
      <c r="BD245" s="89"/>
      <c r="BE245" s="89"/>
      <c r="BF245" s="89"/>
      <c r="BG245" s="89"/>
      <c r="BH245" s="89"/>
      <c r="BI245" s="89"/>
      <c r="BJ245" s="89"/>
      <c r="BK245" s="89"/>
      <c r="BL245" s="89"/>
      <c r="BM245" s="89"/>
      <c r="BN245" s="89"/>
      <c r="BO245" s="89"/>
      <c r="BP245" s="89"/>
      <c r="BQ245" s="89"/>
    </row>
    <row r="246" spans="42:69" x14ac:dyDescent="0.35">
      <c r="AP246" s="89"/>
      <c r="AQ246" s="89"/>
      <c r="AR246" s="89"/>
      <c r="AS246" s="89"/>
      <c r="AT246" s="89"/>
      <c r="AU246" s="89"/>
      <c r="AV246" s="89"/>
      <c r="AW246" s="89"/>
      <c r="AX246" s="89"/>
      <c r="AY246" s="89"/>
      <c r="AZ246" s="89"/>
      <c r="BA246" s="89"/>
      <c r="BB246" s="89"/>
      <c r="BC246" s="89"/>
      <c r="BD246" s="89"/>
      <c r="BE246" s="89"/>
      <c r="BF246" s="89"/>
      <c r="BG246" s="89"/>
      <c r="BH246" s="89"/>
      <c r="BI246" s="89"/>
      <c r="BJ246" s="89"/>
      <c r="BK246" s="89"/>
      <c r="BL246" s="89"/>
      <c r="BM246" s="89"/>
      <c r="BN246" s="89"/>
      <c r="BO246" s="89"/>
      <c r="BP246" s="89"/>
      <c r="BQ246" s="89"/>
    </row>
    <row r="247" spans="42:69" x14ac:dyDescent="0.35">
      <c r="AP247" s="89"/>
      <c r="AQ247" s="89"/>
      <c r="AR247" s="89"/>
      <c r="AS247" s="89"/>
      <c r="AT247" s="89"/>
      <c r="AU247" s="89"/>
      <c r="AV247" s="89"/>
      <c r="AW247" s="89"/>
      <c r="AX247" s="89"/>
      <c r="AY247" s="89"/>
      <c r="AZ247" s="89"/>
      <c r="BA247" s="89"/>
      <c r="BB247" s="89"/>
      <c r="BC247" s="89"/>
      <c r="BD247" s="89"/>
      <c r="BE247" s="89"/>
      <c r="BF247" s="89"/>
      <c r="BG247" s="89"/>
      <c r="BH247" s="89"/>
      <c r="BI247" s="89"/>
      <c r="BJ247" s="89"/>
      <c r="BK247" s="89"/>
      <c r="BL247" s="89"/>
      <c r="BM247" s="89"/>
      <c r="BN247" s="89"/>
      <c r="BO247" s="89"/>
      <c r="BP247" s="89"/>
      <c r="BQ247" s="89"/>
    </row>
    <row r="248" spans="42:69" x14ac:dyDescent="0.35">
      <c r="AP248" s="89"/>
      <c r="AQ248" s="89"/>
      <c r="AR248" s="89"/>
      <c r="AS248" s="89"/>
      <c r="AT248" s="89"/>
      <c r="AU248" s="89"/>
      <c r="AV248" s="89"/>
      <c r="AW248" s="89"/>
      <c r="AX248" s="89"/>
      <c r="AY248" s="89"/>
      <c r="AZ248" s="89"/>
      <c r="BA248" s="89"/>
      <c r="BB248" s="89"/>
      <c r="BC248" s="89"/>
      <c r="BD248" s="89"/>
      <c r="BE248" s="89"/>
      <c r="BF248" s="89"/>
      <c r="BG248" s="89"/>
      <c r="BH248" s="89"/>
      <c r="BI248" s="89"/>
      <c r="BJ248" s="89"/>
      <c r="BK248" s="89"/>
      <c r="BL248" s="89"/>
      <c r="BM248" s="89"/>
      <c r="BN248" s="89"/>
      <c r="BO248" s="89"/>
      <c r="BP248" s="89"/>
      <c r="BQ248" s="89"/>
    </row>
    <row r="249" spans="42:69" x14ac:dyDescent="0.35">
      <c r="AP249" s="89"/>
      <c r="AQ249" s="89"/>
      <c r="AR249" s="89"/>
      <c r="AS249" s="89"/>
      <c r="AT249" s="89"/>
      <c r="AU249" s="89"/>
      <c r="AV249" s="89"/>
      <c r="AW249" s="89"/>
      <c r="AX249" s="89"/>
      <c r="AY249" s="89"/>
      <c r="AZ249" s="89"/>
      <c r="BA249" s="89"/>
      <c r="BB249" s="89"/>
      <c r="BC249" s="89"/>
      <c r="BD249" s="89"/>
      <c r="BE249" s="89"/>
      <c r="BF249" s="89"/>
      <c r="BG249" s="89"/>
      <c r="BH249" s="89"/>
      <c r="BI249" s="89"/>
      <c r="BJ249" s="89"/>
      <c r="BK249" s="89"/>
      <c r="BL249" s="89"/>
      <c r="BM249" s="89"/>
      <c r="BN249" s="89"/>
      <c r="BO249" s="89"/>
      <c r="BP249" s="89"/>
      <c r="BQ249" s="89"/>
    </row>
    <row r="250" spans="42:69" x14ac:dyDescent="0.35">
      <c r="AP250" s="89"/>
      <c r="AQ250" s="89"/>
      <c r="AR250" s="89"/>
      <c r="AS250" s="89"/>
      <c r="AT250" s="89"/>
      <c r="AU250" s="89"/>
      <c r="AV250" s="89"/>
      <c r="AW250" s="89"/>
      <c r="AX250" s="89"/>
      <c r="AY250" s="89"/>
      <c r="AZ250" s="89"/>
      <c r="BA250" s="89"/>
      <c r="BB250" s="89"/>
      <c r="BC250" s="89"/>
      <c r="BD250" s="89"/>
      <c r="BE250" s="89"/>
      <c r="BF250" s="89"/>
      <c r="BG250" s="89"/>
      <c r="BH250" s="89"/>
      <c r="BI250" s="89"/>
      <c r="BJ250" s="89"/>
      <c r="BK250" s="89"/>
      <c r="BL250" s="89"/>
      <c r="BM250" s="89"/>
      <c r="BN250" s="89"/>
      <c r="BO250" s="89"/>
      <c r="BP250" s="89"/>
      <c r="BQ250" s="89"/>
    </row>
    <row r="251" spans="42:69" x14ac:dyDescent="0.35">
      <c r="AP251" s="89"/>
      <c r="AQ251" s="89"/>
      <c r="AR251" s="89"/>
      <c r="AS251" s="89"/>
      <c r="AT251" s="89"/>
      <c r="AU251" s="89"/>
      <c r="AV251" s="89"/>
      <c r="AW251" s="89"/>
      <c r="AX251" s="89"/>
      <c r="AY251" s="89"/>
      <c r="AZ251" s="89"/>
      <c r="BA251" s="89"/>
      <c r="BB251" s="89"/>
      <c r="BC251" s="89"/>
      <c r="BD251" s="89"/>
      <c r="BE251" s="89"/>
      <c r="BF251" s="89"/>
      <c r="BG251" s="89"/>
      <c r="BH251" s="89"/>
      <c r="BI251" s="89"/>
      <c r="BJ251" s="89"/>
      <c r="BK251" s="89"/>
      <c r="BL251" s="89"/>
      <c r="BM251" s="89"/>
      <c r="BN251" s="89"/>
      <c r="BO251" s="89"/>
      <c r="BP251" s="89"/>
      <c r="BQ251" s="89"/>
    </row>
    <row r="252" spans="42:69" x14ac:dyDescent="0.35">
      <c r="AP252" s="89"/>
      <c r="AQ252" s="89"/>
      <c r="AR252" s="89"/>
      <c r="AS252" s="89"/>
      <c r="AT252" s="89"/>
      <c r="AU252" s="89"/>
      <c r="AV252" s="89"/>
      <c r="AW252" s="89"/>
      <c r="AX252" s="89"/>
      <c r="AY252" s="89"/>
      <c r="AZ252" s="89"/>
      <c r="BA252" s="89"/>
      <c r="BB252" s="89"/>
      <c r="BC252" s="89"/>
      <c r="BD252" s="89"/>
      <c r="BE252" s="89"/>
      <c r="BF252" s="89"/>
      <c r="BG252" s="89"/>
      <c r="BH252" s="89"/>
      <c r="BI252" s="89"/>
      <c r="BJ252" s="89"/>
      <c r="BK252" s="89"/>
      <c r="BL252" s="89"/>
      <c r="BM252" s="89"/>
      <c r="BN252" s="89"/>
      <c r="BO252" s="89"/>
      <c r="BP252" s="89"/>
      <c r="BQ252" s="89"/>
    </row>
    <row r="253" spans="42:69" x14ac:dyDescent="0.35">
      <c r="AP253" s="89"/>
      <c r="AQ253" s="89"/>
      <c r="AR253" s="89"/>
      <c r="AS253" s="89"/>
      <c r="AT253" s="89"/>
      <c r="AU253" s="89"/>
      <c r="AV253" s="89"/>
      <c r="AW253" s="89"/>
      <c r="AX253" s="89"/>
      <c r="AY253" s="89"/>
      <c r="AZ253" s="89"/>
      <c r="BA253" s="89"/>
      <c r="BB253" s="89"/>
      <c r="BC253" s="89"/>
      <c r="BD253" s="89"/>
      <c r="BE253" s="89"/>
      <c r="BF253" s="89"/>
      <c r="BG253" s="89"/>
      <c r="BH253" s="89"/>
      <c r="BI253" s="89"/>
      <c r="BJ253" s="89"/>
      <c r="BK253" s="89"/>
      <c r="BL253" s="89"/>
      <c r="BM253" s="89"/>
      <c r="BN253" s="89"/>
      <c r="BO253" s="89"/>
      <c r="BP253" s="89"/>
      <c r="BQ253" s="89"/>
    </row>
    <row r="254" spans="42:69" x14ac:dyDescent="0.35">
      <c r="AP254" s="89"/>
      <c r="AQ254" s="89"/>
      <c r="AR254" s="89"/>
      <c r="AS254" s="89"/>
      <c r="AT254" s="89"/>
      <c r="AU254" s="89"/>
      <c r="AV254" s="89"/>
      <c r="AW254" s="89"/>
      <c r="AX254" s="89"/>
      <c r="AY254" s="89"/>
      <c r="AZ254" s="89"/>
      <c r="BA254" s="89"/>
      <c r="BB254" s="89"/>
      <c r="BC254" s="89"/>
      <c r="BD254" s="89"/>
      <c r="BE254" s="89"/>
      <c r="BF254" s="89"/>
      <c r="BG254" s="89"/>
      <c r="BH254" s="89"/>
      <c r="BI254" s="89"/>
      <c r="BJ254" s="89"/>
      <c r="BK254" s="89"/>
      <c r="BL254" s="89"/>
      <c r="BM254" s="89"/>
      <c r="BN254" s="89"/>
      <c r="BO254" s="89"/>
      <c r="BP254" s="89"/>
      <c r="BQ254" s="89"/>
    </row>
    <row r="255" spans="42:69" x14ac:dyDescent="0.35">
      <c r="AP255" s="89"/>
      <c r="AQ255" s="89"/>
      <c r="AR255" s="89"/>
      <c r="AS255" s="89"/>
      <c r="AT255" s="89"/>
      <c r="AU255" s="89"/>
      <c r="AV255" s="89"/>
      <c r="AW255" s="89"/>
      <c r="AX255" s="89"/>
      <c r="AY255" s="89"/>
      <c r="AZ255" s="89"/>
      <c r="BA255" s="89"/>
      <c r="BB255" s="89"/>
      <c r="BC255" s="89"/>
      <c r="BD255" s="89"/>
      <c r="BE255" s="89"/>
      <c r="BF255" s="89"/>
      <c r="BG255" s="89"/>
      <c r="BH255" s="89"/>
      <c r="BI255" s="89"/>
      <c r="BJ255" s="89"/>
      <c r="BK255" s="89"/>
      <c r="BL255" s="89"/>
      <c r="BM255" s="89"/>
      <c r="BN255" s="89"/>
      <c r="BO255" s="89"/>
      <c r="BP255" s="89"/>
      <c r="BQ255" s="89"/>
    </row>
    <row r="256" spans="42:69" x14ac:dyDescent="0.35">
      <c r="AP256" s="89"/>
      <c r="AQ256" s="89"/>
      <c r="AR256" s="89"/>
      <c r="AS256" s="89"/>
      <c r="AT256" s="89"/>
      <c r="AU256" s="89"/>
      <c r="AV256" s="89"/>
      <c r="AW256" s="89"/>
      <c r="AX256" s="89"/>
      <c r="AY256" s="89"/>
      <c r="AZ256" s="89"/>
      <c r="BA256" s="89"/>
      <c r="BB256" s="89"/>
      <c r="BC256" s="89"/>
      <c r="BD256" s="89"/>
      <c r="BE256" s="89"/>
      <c r="BF256" s="89"/>
      <c r="BG256" s="89"/>
      <c r="BH256" s="89"/>
      <c r="BI256" s="89"/>
      <c r="BJ256" s="89"/>
      <c r="BK256" s="89"/>
      <c r="BL256" s="89"/>
      <c r="BM256" s="89"/>
      <c r="BN256" s="89"/>
      <c r="BO256" s="89"/>
      <c r="BP256" s="89"/>
      <c r="BQ256" s="89"/>
    </row>
    <row r="257" spans="42:69" x14ac:dyDescent="0.35">
      <c r="AP257" s="89"/>
      <c r="AQ257" s="89"/>
      <c r="AR257" s="89"/>
      <c r="AS257" s="89"/>
      <c r="AT257" s="89"/>
      <c r="AU257" s="89"/>
      <c r="AV257" s="89"/>
      <c r="AW257" s="89"/>
      <c r="AX257" s="89"/>
      <c r="AY257" s="89"/>
      <c r="AZ257" s="89"/>
      <c r="BA257" s="89"/>
      <c r="BB257" s="89"/>
      <c r="BC257" s="89"/>
      <c r="BD257" s="89"/>
      <c r="BE257" s="89"/>
      <c r="BF257" s="89"/>
      <c r="BG257" s="89"/>
      <c r="BH257" s="89"/>
      <c r="BI257" s="89"/>
      <c r="BJ257" s="89"/>
      <c r="BK257" s="89"/>
      <c r="BL257" s="89"/>
      <c r="BM257" s="89"/>
      <c r="BN257" s="89"/>
      <c r="BO257" s="89"/>
      <c r="BP257" s="89"/>
      <c r="BQ257" s="89"/>
    </row>
    <row r="258" spans="42:69" x14ac:dyDescent="0.35">
      <c r="AP258" s="89"/>
      <c r="AQ258" s="89"/>
      <c r="AR258" s="89"/>
      <c r="AS258" s="89"/>
      <c r="AT258" s="89"/>
      <c r="AU258" s="89"/>
      <c r="AV258" s="89"/>
      <c r="AW258" s="89"/>
      <c r="AX258" s="89"/>
      <c r="AY258" s="89"/>
      <c r="AZ258" s="89"/>
      <c r="BA258" s="89"/>
      <c r="BB258" s="89"/>
      <c r="BC258" s="89"/>
      <c r="BD258" s="89"/>
      <c r="BE258" s="89"/>
      <c r="BF258" s="89"/>
      <c r="BG258" s="89"/>
      <c r="BH258" s="89"/>
      <c r="BI258" s="89"/>
      <c r="BJ258" s="89"/>
      <c r="BK258" s="89"/>
      <c r="BL258" s="89"/>
      <c r="BM258" s="89"/>
      <c r="BN258" s="89"/>
      <c r="BO258" s="89"/>
      <c r="BP258" s="89"/>
      <c r="BQ258" s="89"/>
    </row>
    <row r="259" spans="42:69" x14ac:dyDescent="0.35">
      <c r="AP259" s="89"/>
      <c r="AQ259" s="89"/>
      <c r="AR259" s="89"/>
      <c r="AS259" s="89"/>
      <c r="AT259" s="89"/>
      <c r="AU259" s="89"/>
      <c r="AV259" s="89"/>
      <c r="AW259" s="89"/>
      <c r="AX259" s="89"/>
      <c r="AY259" s="89"/>
      <c r="AZ259" s="89"/>
      <c r="BA259" s="89"/>
      <c r="BB259" s="89"/>
      <c r="BC259" s="89"/>
      <c r="BD259" s="89"/>
      <c r="BE259" s="89"/>
      <c r="BF259" s="89"/>
      <c r="BG259" s="89"/>
      <c r="BH259" s="89"/>
      <c r="BI259" s="89"/>
      <c r="BJ259" s="89"/>
      <c r="BK259" s="89"/>
      <c r="BL259" s="89"/>
      <c r="BM259" s="89"/>
      <c r="BN259" s="89"/>
      <c r="BO259" s="89"/>
      <c r="BP259" s="89"/>
      <c r="BQ259" s="89"/>
    </row>
    <row r="260" spans="42:69" x14ac:dyDescent="0.35">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row>
  </sheetData>
  <sheetProtection algorithmName="SHA-512" hashValue="AXvkMBSSmV4FJ8SnfnNc3EG0j2J0io3aB770a10vrKvRmtqlRRNrJpCoGJsTeQpAu18fIORHLZ8fGn609XqwgQ==" saltValue="orHBL9pdEue0Br8c8A7yxQ==" spinCount="100000" sheet="1" insertRows="0" deleteRows="0"/>
  <mergeCells count="22">
    <mergeCell ref="B5:I5"/>
    <mergeCell ref="B8:I8"/>
    <mergeCell ref="D161:I161"/>
    <mergeCell ref="B191:B210"/>
    <mergeCell ref="B137:B156"/>
    <mergeCell ref="B164:B183"/>
    <mergeCell ref="D134:I134"/>
    <mergeCell ref="B110:B129"/>
    <mergeCell ref="D26:I26"/>
    <mergeCell ref="B22:I22"/>
    <mergeCell ref="B12:B19"/>
    <mergeCell ref="B29:B48"/>
    <mergeCell ref="B56:B75"/>
    <mergeCell ref="B83:B102"/>
    <mergeCell ref="D53:I53"/>
    <mergeCell ref="D80:I80"/>
    <mergeCell ref="D107:I107"/>
    <mergeCell ref="B218:B237"/>
    <mergeCell ref="D188:I188"/>
    <mergeCell ref="D215:I215"/>
    <mergeCell ref="M106:M107"/>
    <mergeCell ref="L106:L107"/>
  </mergeCells>
  <phoneticPr fontId="2" type="noConversion"/>
  <conditionalFormatting sqref="I29:I48">
    <cfRule type="expression" dxfId="62" priority="23">
      <formula>AND($E29&lt;&gt;"Fernwärme (Wert Energieversorger)",$E29&lt;&gt;"")</formula>
    </cfRule>
    <cfRule type="expression" dxfId="61" priority="24">
      <formula>AND($E29="Fernwärme (Wert Energieversorger)",$I29="")</formula>
    </cfRule>
    <cfRule type="expression" dxfId="60" priority="36">
      <formula>AND($E29="Fernwärme (Wert Energieversorger)",$I29&lt;&gt;"")</formula>
    </cfRule>
  </conditionalFormatting>
  <conditionalFormatting sqref="I56:I75">
    <cfRule type="expression" dxfId="59" priority="20">
      <formula>AND($E56&lt;&gt;"Strombezug (Deutschland)",$E56&lt;&gt;"")</formula>
    </cfRule>
    <cfRule type="expression" dxfId="58" priority="21">
      <formula>AND($E56="Strombezug (Deutschland)",$I56="")</formula>
    </cfRule>
    <cfRule type="expression" dxfId="57" priority="22">
      <formula>AND($E56="Strombezug (Deutschland)",$I56&lt;&gt;"")</formula>
    </cfRule>
  </conditionalFormatting>
  <conditionalFormatting sqref="I110:I129">
    <cfRule type="expression" dxfId="56" priority="13">
      <formula>AND($E110&lt;&gt;"Strom (externes Laden, Deutschland)",$E110&lt;&gt;"")</formula>
    </cfRule>
    <cfRule type="expression" dxfId="55" priority="15">
      <formula>AND($E110="Strom (externes Laden, Deutschland)",$I110="")</formula>
    </cfRule>
    <cfRule type="expression" dxfId="54" priority="17">
      <formula>AND($E110="Strom (externes Laden, Deutschland)",$I110&lt;&gt;"")</formula>
    </cfRule>
  </conditionalFormatting>
  <conditionalFormatting sqref="I137:I156">
    <cfRule type="expression" dxfId="53" priority="19">
      <formula>AND(ISERROR(SEARCH("PKW",$E137)),$E137&lt;&gt;"")</formula>
    </cfRule>
  </conditionalFormatting>
  <conditionalFormatting sqref="I164:I183">
    <cfRule type="expression" dxfId="52" priority="9">
      <formula>AND(ISERROR(SEARCH("PKW",$E164)),$E164&lt;&gt;"")</formula>
    </cfRule>
  </conditionalFormatting>
  <conditionalFormatting sqref="I191:I210">
    <cfRule type="expression" dxfId="51" priority="8">
      <formula>AND(ISERROR(SEARCH("PKW",$E191)),$E191&lt;&gt;"")</formula>
    </cfRule>
  </conditionalFormatting>
  <conditionalFormatting sqref="M56:M75">
    <cfRule type="expression" dxfId="50" priority="5">
      <formula>AND($E56&lt;&gt;"Strombezug (Deutschland)",$E56&lt;&gt;"")</formula>
    </cfRule>
  </conditionalFormatting>
  <conditionalFormatting sqref="M110:M129">
    <cfRule type="expression" dxfId="49" priority="4">
      <formula>AND($E110&lt;&gt;"Strom (externes Laden, Deutschland)",$E110&lt;&gt;"")</formula>
    </cfRule>
  </conditionalFormatting>
  <conditionalFormatting sqref="M137:M156">
    <cfRule type="expression" dxfId="48" priority="3">
      <formula>$T137=0</formula>
    </cfRule>
  </conditionalFormatting>
  <conditionalFormatting sqref="M191:M210">
    <cfRule type="expression" dxfId="47" priority="2">
      <formula>$T191=0</formula>
    </cfRule>
  </conditionalFormatting>
  <conditionalFormatting sqref="L218:L237">
    <cfRule type="expression" dxfId="46" priority="1">
      <formula>$T218=0</formula>
    </cfRule>
  </conditionalFormatting>
  <dataValidations count="12">
    <dataValidation type="list" allowBlank="1" showInputMessage="1" showErrorMessage="1" sqref="D83:D102 D218:D237 D56:D75 D137:D156 D110:D129 D191:D210 D164:D183 D29:D48" xr:uid="{9B3D46AF-22B0-43EA-9668-D6262B22DBEE}">
      <formula1>Gliederungselemente</formula1>
    </dataValidation>
    <dataValidation type="list" allowBlank="1" showInputMessage="1" showErrorMessage="1" sqref="C27 C54 C81 C108 C135 C162 C189 C216" xr:uid="{60FBAEA9-E023-4A61-9691-F22162802AD3}">
      <formula1>DD_Thema</formula1>
    </dataValidation>
    <dataValidation type="decimal" operator="notEqual" allowBlank="1" showInputMessage="1" showErrorMessage="1" errorTitle="Ungültiger Wert!" error="Bitte tragen Sie eine Zahl ein." sqref="F29:F33 I29:I48 F83 F137:F147 F164:F174 F56:F60 F218 I77:J77 F110:F114 F176 F191:F196" xr:uid="{59753036-CE92-427E-AEE6-544D2810FD15}">
      <formula1>0</formula1>
    </dataValidation>
    <dataValidation type="list" allowBlank="1" showInputMessage="1" showErrorMessage="1" sqref="E56:E75" xr:uid="{3BD7F13D-8A28-4197-B044-207B668A44E6}">
      <formula1>DD_Strom</formula1>
    </dataValidation>
    <dataValidation type="list" allowBlank="1" showInputMessage="1" showErrorMessage="1" sqref="E83:E102" xr:uid="{6B2471A3-2C67-491F-97ED-281FE3ACA195}">
      <formula1>DD_Kühl_und_Kältemittel</formula1>
    </dataValidation>
    <dataValidation type="list" allowBlank="1" showInputMessage="1" showErrorMessage="1" sqref="E110:E129" xr:uid="{AA4BE034-E584-45E0-BD7B-5E3FCC78391F}">
      <formula1>DD_Fuhrpark</formula1>
    </dataValidation>
    <dataValidation type="list" allowBlank="1" showInputMessage="1" showErrorMessage="1" sqref="E137:E156" xr:uid="{DE023A48-290B-4E22-8144-8A8780D1B2EF}">
      <formula1>DD_Geschäftsreisen</formula1>
    </dataValidation>
    <dataValidation type="list" allowBlank="1" showInputMessage="1" showErrorMessage="1" sqref="E191:E210" xr:uid="{CE629705-47EE-46B6-A67B-724A9018EBE2}">
      <formula1>DD_Externe</formula1>
    </dataValidation>
    <dataValidation type="list" allowBlank="1" showInputMessage="1" showErrorMessage="1" sqref="E218:E237" xr:uid="{8D0B7E6C-C22C-4DE0-8004-79865B9658D9}">
      <formula1>DD_Warentransporte</formula1>
    </dataValidation>
    <dataValidation type="list" allowBlank="1" showInputMessage="1" showErrorMessage="1" sqref="E29:E48" xr:uid="{AF6B813B-FC71-41D6-8BEF-38CB93BF059D}">
      <formula1>DD_Wärme</formula1>
    </dataValidation>
    <dataValidation type="list" allowBlank="1" showInputMessage="1" showErrorMessage="1" sqref="E164:E183" xr:uid="{4FBE0D0F-FB42-4D23-9E0B-5B52B20C8DF8}">
      <formula1>DD_Pendeln_Mitarbeitende</formula1>
    </dataValidation>
    <dataValidation type="decimal" errorStyle="warning" allowBlank="1" showInputMessage="1" showErrorMessage="1" error="Tragen Sie bitte eine Zahl zwsichen 1 und 9 ein (auch Dezimalzahlen sind zulässig)." sqref="I137:I156 I164:I183 I191:I210" xr:uid="{51816C24-586B-4A8D-BBC0-7D767E1C0041}">
      <formula1>1</formula1>
      <formula2>9</formula2>
    </dataValidation>
  </dataValidations>
  <hyperlinks>
    <hyperlink ref="E12" location="Bez_Wärme" display="Wärme" xr:uid="{32A3D0CE-092C-41CA-81C8-E0182E5F460B}"/>
    <hyperlink ref="E13:E19" location="'Datenerfassung (3)'!F23:F42" display="Energie_Wärme" xr:uid="{6EEC6C47-42BB-402B-97D5-88361B89A69A}"/>
    <hyperlink ref="B24" location="'Daten KlimaBilanzKultur'!B7:G19" display="Zurück zur Übersicht" xr:uid="{8F0CCDE1-5883-48A6-A56E-88EFCE52562D}"/>
    <hyperlink ref="E13" location="Bez_Strom" display="Strom" xr:uid="{CB7A2CD5-20F1-4427-9D86-D4430D2ED400}"/>
    <hyperlink ref="E14" location="Bez_Kühl_und_Kältemittel" display="Kühl- und Kältemittel" xr:uid="{E40D9E60-98BB-4D24-9F7C-D5BDD06B2FF9}"/>
    <hyperlink ref="E15" location="Bez_Fuhrpark" display="Fuhrpark" xr:uid="{7AA59E31-0BA9-4063-B05B-83FAE46A8693}"/>
    <hyperlink ref="E16" location="Bez_Geschäftsreisen" display="Geschäftsreisen" xr:uid="{0D206388-2281-4EA6-81CF-67C3A17C010D}"/>
    <hyperlink ref="E17" location="Bez_Pendeln" display="Pendeln der Mitarbeitenden" xr:uid="{FF340F6B-BA68-466E-9354-C2225490C220}"/>
    <hyperlink ref="E18" location="Bez_Externe" display="Externe (KünstlerInnen, freie Mitarbeitende)" xr:uid="{265C4515-1F7E-43F2-9624-36A2FBCB0A2F}"/>
    <hyperlink ref="E19" location="Bez_Warentransporte" display="Warentransporte" xr:uid="{4BB68926-6DC6-4BA4-AAF6-182B061699B8}"/>
    <hyperlink ref="B51" location="'Daten KlimaBilanzKultur'!B7:G19" display="Zurück zur Übersicht" xr:uid="{18ADBEA5-C4E9-4AB7-88B7-543D7ED139FA}"/>
    <hyperlink ref="B78" location="'Daten KlimaBilanzKultur'!B7:G19" display="Zurück zur Übersicht" xr:uid="{EC691562-ADAD-4AA7-AA52-21C6EF4A64DB}"/>
    <hyperlink ref="B105" location="'Daten KlimaBilanzKultur'!B7:G19" display="Zurück zur Übersicht" xr:uid="{FE565501-0078-4E52-834B-F8B8E4401F3B}"/>
    <hyperlink ref="B132" location="'Daten KlimaBilanzKultur'!B7:G19" display="Zurück zur Übersicht" xr:uid="{BFB3D4C9-D887-46FF-9083-32497F13EE9A}"/>
    <hyperlink ref="B159" location="'Daten KlimaBilanzKultur'!B7:G19" display="Zurück zur Übersicht" xr:uid="{1B40D025-FF41-419D-B9EE-FD7C45AEAA1E}"/>
    <hyperlink ref="B186" location="'Daten KlimaBilanzKultur'!B7:G19" display="Zurück zur Übersicht" xr:uid="{DFAFC4D4-73DA-4999-9071-E329A6D48600}"/>
    <hyperlink ref="B213" location="'Daten KlimaBilanzKultur'!B7:G19" display="Zurück zur Übersicht" xr:uid="{FBD13ACD-A085-466B-A5CA-59C05E6486B1}"/>
  </hyperlinks>
  <pageMargins left="0.7" right="0.7" top="0.78740157499999996" bottom="0.78740157499999996" header="0.3" footer="0.3"/>
  <pageSetup paperSize="9" orientation="portrait" r:id="rId1"/>
  <ignoredErrors>
    <ignoredError sqref="AL29:AM29 D50:H52 D135:H136 D162:H163 D54:H55 D40:F46 D48 H48 H36:H46 D267:H268 D227 D199:D210 D149:F155 D65:F74 D89:F101 D115:F128 D77:H79 D104:H106 D131:H133 E88:F88 D185:H187 H179:H183 D158:H160 D212:H214 D239:H239 H65:H68 H71:H75 H91:H102 H123:H129 H146:H156 H200:H210 F13:F19 D108:H109 D81:H82 D189:H190 D216:H217 H223:H237 D179:D183 F179:F183 D75 F75 AK29 F199:F210 D148 F148 D156 F156 D129 F129 D102 F102 F48 D232:F237 D228 D229:D231" calculatedColumn="1"/>
    <ignoredError sqref="BA56:BG75 X137:X156 AS56:AY7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16" r:id="rId4" name="Check Box 36">
              <controlPr defaultSize="0" autoFill="0" autoLine="0" autoPict="0">
                <anchor moveWithCells="1">
                  <from>
                    <xdr:col>6</xdr:col>
                    <xdr:colOff>527050</xdr:colOff>
                    <xdr:row>11</xdr:row>
                    <xdr:rowOff>31750</xdr:rowOff>
                  </from>
                  <to>
                    <xdr:col>6</xdr:col>
                    <xdr:colOff>723900</xdr:colOff>
                    <xdr:row>11</xdr:row>
                    <xdr:rowOff>209550</xdr:rowOff>
                  </to>
                </anchor>
              </controlPr>
            </control>
          </mc:Choice>
        </mc:AlternateContent>
        <mc:AlternateContent xmlns:mc="http://schemas.openxmlformats.org/markup-compatibility/2006">
          <mc:Choice Requires="x14">
            <control shapeId="20517" r:id="rId5" name="Check Box 37">
              <controlPr defaultSize="0" autoFill="0" autoLine="0" autoPict="0">
                <anchor moveWithCells="1">
                  <from>
                    <xdr:col>6</xdr:col>
                    <xdr:colOff>527050</xdr:colOff>
                    <xdr:row>12</xdr:row>
                    <xdr:rowOff>31750</xdr:rowOff>
                  </from>
                  <to>
                    <xdr:col>6</xdr:col>
                    <xdr:colOff>723900</xdr:colOff>
                    <xdr:row>12</xdr:row>
                    <xdr:rowOff>209550</xdr:rowOff>
                  </to>
                </anchor>
              </controlPr>
            </control>
          </mc:Choice>
        </mc:AlternateContent>
        <mc:AlternateContent xmlns:mc="http://schemas.openxmlformats.org/markup-compatibility/2006">
          <mc:Choice Requires="x14">
            <control shapeId="20518" r:id="rId6" name="Check Box 38">
              <controlPr defaultSize="0" autoFill="0" autoLine="0" autoPict="0">
                <anchor moveWithCells="1">
                  <from>
                    <xdr:col>6</xdr:col>
                    <xdr:colOff>527050</xdr:colOff>
                    <xdr:row>13</xdr:row>
                    <xdr:rowOff>31750</xdr:rowOff>
                  </from>
                  <to>
                    <xdr:col>6</xdr:col>
                    <xdr:colOff>723900</xdr:colOff>
                    <xdr:row>13</xdr:row>
                    <xdr:rowOff>209550</xdr:rowOff>
                  </to>
                </anchor>
              </controlPr>
            </control>
          </mc:Choice>
        </mc:AlternateContent>
        <mc:AlternateContent xmlns:mc="http://schemas.openxmlformats.org/markup-compatibility/2006">
          <mc:Choice Requires="x14">
            <control shapeId="20519" r:id="rId7" name="Check Box 39">
              <controlPr defaultSize="0" autoFill="0" autoLine="0" autoPict="0">
                <anchor moveWithCells="1">
                  <from>
                    <xdr:col>6</xdr:col>
                    <xdr:colOff>527050</xdr:colOff>
                    <xdr:row>14</xdr:row>
                    <xdr:rowOff>31750</xdr:rowOff>
                  </from>
                  <to>
                    <xdr:col>6</xdr:col>
                    <xdr:colOff>723900</xdr:colOff>
                    <xdr:row>14</xdr:row>
                    <xdr:rowOff>209550</xdr:rowOff>
                  </to>
                </anchor>
              </controlPr>
            </control>
          </mc:Choice>
        </mc:AlternateContent>
        <mc:AlternateContent xmlns:mc="http://schemas.openxmlformats.org/markup-compatibility/2006">
          <mc:Choice Requires="x14">
            <control shapeId="20520" r:id="rId8" name="Check Box 40">
              <controlPr defaultSize="0" autoFill="0" autoLine="0" autoPict="0">
                <anchor moveWithCells="1">
                  <from>
                    <xdr:col>6</xdr:col>
                    <xdr:colOff>527050</xdr:colOff>
                    <xdr:row>15</xdr:row>
                    <xdr:rowOff>31750</xdr:rowOff>
                  </from>
                  <to>
                    <xdr:col>6</xdr:col>
                    <xdr:colOff>723900</xdr:colOff>
                    <xdr:row>15</xdr:row>
                    <xdr:rowOff>209550</xdr:rowOff>
                  </to>
                </anchor>
              </controlPr>
            </control>
          </mc:Choice>
        </mc:AlternateContent>
        <mc:AlternateContent xmlns:mc="http://schemas.openxmlformats.org/markup-compatibility/2006">
          <mc:Choice Requires="x14">
            <control shapeId="20521" r:id="rId9" name="Check Box 41">
              <controlPr defaultSize="0" autoFill="0" autoLine="0" autoPict="0">
                <anchor moveWithCells="1">
                  <from>
                    <xdr:col>6</xdr:col>
                    <xdr:colOff>527050</xdr:colOff>
                    <xdr:row>16</xdr:row>
                    <xdr:rowOff>31750</xdr:rowOff>
                  </from>
                  <to>
                    <xdr:col>6</xdr:col>
                    <xdr:colOff>723900</xdr:colOff>
                    <xdr:row>16</xdr:row>
                    <xdr:rowOff>209550</xdr:rowOff>
                  </to>
                </anchor>
              </controlPr>
            </control>
          </mc:Choice>
        </mc:AlternateContent>
        <mc:AlternateContent xmlns:mc="http://schemas.openxmlformats.org/markup-compatibility/2006">
          <mc:Choice Requires="x14">
            <control shapeId="20522" r:id="rId10" name="Check Box 42">
              <controlPr defaultSize="0" autoFill="0" autoLine="0" autoPict="0">
                <anchor moveWithCells="1">
                  <from>
                    <xdr:col>6</xdr:col>
                    <xdr:colOff>527050</xdr:colOff>
                    <xdr:row>17</xdr:row>
                    <xdr:rowOff>31750</xdr:rowOff>
                  </from>
                  <to>
                    <xdr:col>6</xdr:col>
                    <xdr:colOff>723900</xdr:colOff>
                    <xdr:row>17</xdr:row>
                    <xdr:rowOff>209550</xdr:rowOff>
                  </to>
                </anchor>
              </controlPr>
            </control>
          </mc:Choice>
        </mc:AlternateContent>
        <mc:AlternateContent xmlns:mc="http://schemas.openxmlformats.org/markup-compatibility/2006">
          <mc:Choice Requires="x14">
            <control shapeId="20523" r:id="rId11" name="Check Box 43">
              <controlPr defaultSize="0" autoFill="0" autoLine="0" autoPict="0">
                <anchor moveWithCells="1">
                  <from>
                    <xdr:col>6</xdr:col>
                    <xdr:colOff>527050</xdr:colOff>
                    <xdr:row>18</xdr:row>
                    <xdr:rowOff>31750</xdr:rowOff>
                  </from>
                  <to>
                    <xdr:col>6</xdr:col>
                    <xdr:colOff>723900</xdr:colOff>
                    <xdr:row>18</xdr:row>
                    <xdr:rowOff>209550</xdr:rowOff>
                  </to>
                </anchor>
              </controlPr>
            </control>
          </mc:Choice>
        </mc:AlternateContent>
      </controls>
    </mc:Choice>
  </mc:AlternateContent>
  <tableParts count="8">
    <tablePart r:id="rId12"/>
    <tablePart r:id="rId13"/>
    <tablePart r:id="rId14"/>
    <tablePart r:id="rId15"/>
    <tablePart r:id="rId16"/>
    <tablePart r:id="rId17"/>
    <tablePart r:id="rId18"/>
    <tablePart r:id="rId19"/>
  </tableParts>
  <extLst>
    <ext xmlns:x14="http://schemas.microsoft.com/office/spreadsheetml/2009/9/main" uri="{CCE6A557-97BC-4b89-ADB6-D9C93CAAB3DF}">
      <x14:dataValidations xmlns:xm="http://schemas.microsoft.com/office/excel/2006/main" count="1">
        <x14:dataValidation type="list" allowBlank="1" showInputMessage="1" showErrorMessage="1" xr:uid="{205910A9-8292-47ED-ABB0-E02218C6DC51}">
          <x14:formula1>
            <xm:f>INDIRECT(Dropdowns!$B$18)</xm:f>
          </x14:formula1>
          <xm:sqref>H83:H102 H218:H237 H29:H48 H56:H69 H71:H75 H137:H156 H110:H129 H164:H183 H191:H210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C9EF6-EB16-4789-BE33-3D20FFC388D7}">
  <sheetPr codeName="Tabelle5">
    <tabColor rgb="FF5ABEFF"/>
  </sheetPr>
  <dimension ref="A3:AE124"/>
  <sheetViews>
    <sheetView showGridLines="0" zoomScaleNormal="100" workbookViewId="0"/>
  </sheetViews>
  <sheetFormatPr baseColWidth="10" defaultRowHeight="14.5" outlineLevelCol="1" x14ac:dyDescent="0.35"/>
  <cols>
    <col min="1" max="1" width="4.54296875" customWidth="1"/>
    <col min="3" max="3" width="26.453125" hidden="1" customWidth="1" outlineLevel="1"/>
    <col min="4" max="4" width="24" customWidth="1" collapsed="1"/>
    <col min="5" max="5" width="33.7265625" customWidth="1"/>
    <col min="6" max="7" width="18.6328125" customWidth="1"/>
    <col min="8" max="8" width="18.90625" customWidth="1"/>
    <col min="9" max="11" width="30.453125" customWidth="1"/>
    <col min="12" max="13" width="16.90625" customWidth="1"/>
    <col min="14" max="20" width="16.54296875" hidden="1" customWidth="1" outlineLevel="1"/>
    <col min="21" max="23" width="23.453125" hidden="1" customWidth="1" outlineLevel="1"/>
    <col min="24" max="24" width="23.453125" customWidth="1" collapsed="1"/>
    <col min="25" max="27" width="23.453125" customWidth="1"/>
  </cols>
  <sheetData>
    <row r="3" spans="2:9" x14ac:dyDescent="0.35">
      <c r="B3" s="26" t="str">
        <f>IF(ISBLANK(Stammdaten!$C$8),"",Stammdaten!$C$8)</f>
        <v/>
      </c>
    </row>
    <row r="4" spans="2:9" ht="18.5" x14ac:dyDescent="0.45">
      <c r="B4" s="126" t="s">
        <v>317</v>
      </c>
      <c r="F4" s="5"/>
    </row>
    <row r="5" spans="2:9" s="15" customFormat="1" ht="66" customHeight="1" x14ac:dyDescent="0.35">
      <c r="B5" s="599" t="s">
        <v>598</v>
      </c>
      <c r="C5" s="599"/>
      <c r="D5" s="599"/>
      <c r="E5" s="599"/>
      <c r="F5" s="599"/>
      <c r="G5" s="599"/>
      <c r="H5" s="599"/>
      <c r="I5" s="599"/>
    </row>
    <row r="6" spans="2:9" ht="9.5" customHeight="1" x14ac:dyDescent="0.45">
      <c r="B6" s="16"/>
      <c r="F6" s="5"/>
    </row>
    <row r="7" spans="2:9" ht="18.5" x14ac:dyDescent="0.45">
      <c r="B7" s="126" t="s">
        <v>194</v>
      </c>
      <c r="F7" s="5"/>
    </row>
    <row r="8" spans="2:9" s="475" customFormat="1" ht="66" customHeight="1" x14ac:dyDescent="0.35">
      <c r="B8" s="614" t="s">
        <v>578</v>
      </c>
      <c r="C8" s="614"/>
      <c r="D8" s="614"/>
      <c r="E8" s="614"/>
      <c r="F8" s="614"/>
      <c r="G8" s="614"/>
      <c r="H8" s="614"/>
      <c r="I8" s="614"/>
    </row>
    <row r="9" spans="2:9" ht="4" customHeight="1" x14ac:dyDescent="0.45">
      <c r="B9" s="126"/>
      <c r="F9" s="5"/>
    </row>
    <row r="10" spans="2:9" ht="4" customHeight="1" x14ac:dyDescent="0.45">
      <c r="B10" s="16"/>
      <c r="F10" s="5"/>
    </row>
    <row r="11" spans="2:9" ht="29.5" thickBot="1" x14ac:dyDescent="0.4">
      <c r="B11" s="51"/>
      <c r="C11" s="123" t="s">
        <v>73</v>
      </c>
      <c r="D11" s="124" t="s">
        <v>14</v>
      </c>
      <c r="E11" s="124" t="s">
        <v>314</v>
      </c>
      <c r="F11" s="125" t="s">
        <v>119</v>
      </c>
      <c r="G11" s="125" t="s">
        <v>193</v>
      </c>
      <c r="H11" s="42"/>
    </row>
    <row r="12" spans="2:9" s="9" customFormat="1" ht="18" customHeight="1" thickTop="1" x14ac:dyDescent="0.35">
      <c r="B12" s="618" t="s">
        <v>316</v>
      </c>
      <c r="C12" s="117" t="s">
        <v>72</v>
      </c>
      <c r="D12" s="111" t="s">
        <v>16</v>
      </c>
      <c r="E12" s="131" t="s">
        <v>69</v>
      </c>
      <c r="F12" s="112" t="str">
        <f>IF(Anreise_Besuchende[[#Totals],[Ergebnis '[kg CO2e'] (vorausgefüllt)]]=0,"nein","ja")</f>
        <v>nein</v>
      </c>
      <c r="G12" s="118"/>
      <c r="H12" s="358" t="b">
        <v>0</v>
      </c>
    </row>
    <row r="13" spans="2:9" s="9" customFormat="1" ht="18" customHeight="1" x14ac:dyDescent="0.35">
      <c r="B13" s="619"/>
      <c r="C13" s="119" t="s">
        <v>218</v>
      </c>
      <c r="D13" s="113" t="s">
        <v>17</v>
      </c>
      <c r="E13" s="132" t="s">
        <v>291</v>
      </c>
      <c r="F13" s="114" t="str">
        <f>IF(Medien[[#Totals],[Ergebnis '[kg CO2e']
(vorausgefüllt)]]=0,"nein","ja")</f>
        <v>nein</v>
      </c>
      <c r="G13" s="120"/>
      <c r="H13" s="358" t="b">
        <v>0</v>
      </c>
    </row>
    <row r="14" spans="2:9" s="9" customFormat="1" ht="18" customHeight="1" x14ac:dyDescent="0.35">
      <c r="B14" s="619"/>
      <c r="C14" s="121" t="s">
        <v>47</v>
      </c>
      <c r="D14" s="115" t="s">
        <v>17</v>
      </c>
      <c r="E14" s="133" t="s">
        <v>20</v>
      </c>
      <c r="F14" s="116" t="str">
        <f>IF(IT_Dienstleistungen[[#Totals],[Ergebnis '[kg CO2e']
(vorausgefüllt)]]=0,"nein","ja")</f>
        <v>nein</v>
      </c>
      <c r="G14" s="122"/>
      <c r="H14" s="358" t="b">
        <v>0</v>
      </c>
    </row>
    <row r="15" spans="2:9" s="9" customFormat="1" ht="18" customHeight="1" x14ac:dyDescent="0.35">
      <c r="B15" s="619"/>
      <c r="C15" s="119" t="s">
        <v>48</v>
      </c>
      <c r="D15" s="113" t="s">
        <v>292</v>
      </c>
      <c r="E15" s="132" t="s">
        <v>19</v>
      </c>
      <c r="F15" s="114" t="str">
        <f>IF(Relevante_Stoffströme[[#Totals],[Ergebnis '[kg CO2e']
(vorausgefüllt)]]=0,"nein","ja")</f>
        <v>nein</v>
      </c>
      <c r="G15" s="120"/>
      <c r="H15" s="358" t="b">
        <v>0</v>
      </c>
    </row>
    <row r="16" spans="2:9" ht="51.75" customHeight="1" x14ac:dyDescent="0.35"/>
    <row r="17" spans="2:23" x14ac:dyDescent="0.35">
      <c r="B17" s="127" t="s">
        <v>80</v>
      </c>
    </row>
    <row r="18" spans="2:23" ht="18.5" x14ac:dyDescent="0.45">
      <c r="B18" s="126" t="s">
        <v>69</v>
      </c>
    </row>
    <row r="19" spans="2:23" s="1" customFormat="1" ht="109" customHeight="1" x14ac:dyDescent="0.35">
      <c r="B19" s="278" t="s">
        <v>81</v>
      </c>
      <c r="C19" s="279"/>
      <c r="D19" s="601" t="s">
        <v>620</v>
      </c>
      <c r="E19" s="601"/>
      <c r="F19" s="601"/>
      <c r="G19" s="601"/>
      <c r="H19" s="601"/>
      <c r="I19" s="602"/>
      <c r="L19" s="478"/>
      <c r="M19" s="478" t="s">
        <v>604</v>
      </c>
    </row>
    <row r="20" spans="2:23" ht="14" customHeight="1" x14ac:dyDescent="0.45">
      <c r="C20" t="s">
        <v>72</v>
      </c>
      <c r="L20" s="479"/>
      <c r="M20" s="479" t="s">
        <v>603</v>
      </c>
    </row>
    <row r="21" spans="2:23" ht="48" thickBot="1" x14ac:dyDescent="0.4">
      <c r="B21" s="10"/>
      <c r="C21" s="23" t="s">
        <v>46</v>
      </c>
      <c r="D21" s="150" t="s">
        <v>192</v>
      </c>
      <c r="E21" s="150" t="s">
        <v>184</v>
      </c>
      <c r="F21" s="150" t="s">
        <v>570</v>
      </c>
      <c r="G21" s="150" t="s">
        <v>338</v>
      </c>
      <c r="H21" s="150" t="s">
        <v>531</v>
      </c>
      <c r="I21" s="150" t="s">
        <v>185</v>
      </c>
      <c r="J21" s="96" t="s">
        <v>74</v>
      </c>
      <c r="K21" s="96" t="s">
        <v>75</v>
      </c>
      <c r="L21" s="156" t="s">
        <v>219</v>
      </c>
      <c r="M21" s="711" t="s">
        <v>577</v>
      </c>
      <c r="N21" s="97" t="s">
        <v>217</v>
      </c>
      <c r="O21" s="97" t="s">
        <v>492</v>
      </c>
      <c r="P21" s="432" t="s">
        <v>485</v>
      </c>
      <c r="Q21" s="432" t="s">
        <v>486</v>
      </c>
      <c r="R21" s="432" t="s">
        <v>487</v>
      </c>
      <c r="S21" s="442" t="s">
        <v>432</v>
      </c>
      <c r="T21" s="134" t="s">
        <v>493</v>
      </c>
      <c r="U21" s="134" t="s">
        <v>527</v>
      </c>
      <c r="V21" s="134" t="s">
        <v>528</v>
      </c>
      <c r="W21" s="441" t="s">
        <v>434</v>
      </c>
    </row>
    <row r="22" spans="2:23" s="89" customFormat="1" ht="15" thickTop="1" x14ac:dyDescent="0.35">
      <c r="B22" s="615" t="s">
        <v>69</v>
      </c>
      <c r="C22" t="str">
        <f t="shared" ref="C22:C41" si="0">$C$20</f>
        <v>Anreise_Besuchende</v>
      </c>
      <c r="D22" s="90"/>
      <c r="E22" s="90"/>
      <c r="F22" s="288"/>
      <c r="G22" s="287"/>
      <c r="H22" s="287"/>
      <c r="I22" s="90"/>
      <c r="J22" s="90"/>
      <c r="K22" s="90"/>
      <c r="L22" s="289" t="str">
        <f>IF(ISBLANK(Anreise_Besuchende[[#This Row],[Besuchendenanzahl]]),"", SUM(Anreise_Besuchende[[#This Row],[Scope 1 CO2e '[kg CO2e']]:[Scope 3 CO2e '[kg CO2e']]]))</f>
        <v/>
      </c>
      <c r="M22" s="289" t="str">
        <f>IF(OR(ISBLANK(Anreise_Besuchende[[#This Row],[Besuchendenanzahl]]),Anreise_Besuchende[[#This Row],[Scope 3 Ergebnis Nicht-CO2 '[kg CO2e']]]=0),"",Anreise_Besuchende[[#This Row],[Scope 3 Ergebnis Nicht-CO2 '[kg CO2e']]])</f>
        <v/>
      </c>
      <c r="N22" s="15" t="str">
        <f>IF(ISBLANK(Anreise_Besuchende[[#This Row],[Verkehrsmittel (Dropdown)]]),"",CONCATENATE(Anreise_Besuchende[[#This Row],[Sektor_Thema]]," - ",Anreise_Besuchende[[#This Row],[Verkehrsmittel (Dropdown)]]))</f>
        <v/>
      </c>
      <c r="O22" s="15" t="str">
        <f>IF(ISBLANK(Anreise_Besuchende[[#This Row],[Verkehrsmittel (Dropdown)]]),"",AND(ISNUMBER(SEARCH("PKW",Anreise_Besuchende[[#This Row],[Verkehrsmittel (Dropdown)]])),ISNUMBER(Anreise_Besuchende[[#This Row],[PKW-Auslastung:
Personenzahl/ PKW
(optionale Angabe)]])))</f>
        <v/>
      </c>
      <c r="P22" s="15" t="str">
        <f>IFERROR(VLOOKUP(Anreise_Besuchende[[#This Row],[Thema_Bezeichung]],EFs_Besuchende[],5,FALSE),"")</f>
        <v/>
      </c>
      <c r="Q22" s="15" t="str">
        <f>IFERROR(VLOOKUP(Anreise_Besuchende[[#This Row],[Thema_Bezeichung]],EFs_Besuchende[],6,FALSE),"")</f>
        <v/>
      </c>
      <c r="R22" s="15" t="str">
        <f>IF(Anreise_Besuchende[[#This Row],[PKW - Auslastung angegeben?]]=TRUE,IFERROR((VLOOKUP(Anreise_Besuchende[[#This Row],[Thema_Bezeichung]],EFs_Besuchende[],7,FALSE)*VLOOKUP(Anreise_Besuchende[[#This Row],[Thema_Bezeichung]],EFs_Besuchende[],9,FALSE)/Anreise_Besuchende[[#This Row],[PKW-Auslastung:
Personenzahl/ PKW
(optionale Angabe)]]),""),IF(Anreise_Besuchende[[#This Row],[PKW - Auslastung angegeben?]]=FALSE,IFERROR(VLOOKUP(Anreise_Besuchende[[#This Row],[Thema_Bezeichung]],EFs_Besuchende[],7,FALSE),""),""))</f>
        <v/>
      </c>
      <c r="S22" s="15" t="str">
        <f>IFERROR(VLOOKUP(Anreise_Besuchende[[#This Row],[Thema_Bezeichung]],EFs_Besuchende[],8,FALSE),"")</f>
        <v/>
      </c>
      <c r="T22" s="15" t="str">
        <f>IFERROR(Anreise_Besuchende[[#This Row],[Besuchendenanzahl]]*Anreise_Besuchende[[#This Row],[Durchschnittliche Distanz 
(km einfach)]]*Anreise_Besuchende[[#This Row],[EF Scope 1 CO2e
(kg CO2e/Einheit)]]*2,"")</f>
        <v/>
      </c>
      <c r="U22" s="15" t="str">
        <f>IFERROR(Anreise_Besuchende[[#This Row],[Besuchendenanzahl]]*Anreise_Besuchende[[#This Row],[Durchschnittliche Distanz 
(km einfach)]]*Anreise_Besuchende[[#This Row],[EF Scope 2 CO2e
(kg CO2e/Einheit)]]*2,"")</f>
        <v/>
      </c>
      <c r="V22" s="15" t="str">
        <f>IFERROR(Anreise_Besuchende[[#This Row],[Besuchendenanzahl]]*Anreise_Besuchende[[#This Row],[Durchschnittliche Distanz 
(km einfach)]]*Anreise_Besuchende[[#This Row],[EF Scope 3 CO2e
(kg CO2e/Einheit)]]*2,"")</f>
        <v/>
      </c>
      <c r="W22" s="15" t="str">
        <f>IFERROR(Anreise_Besuchende[[#This Row],[Besuchendenanzahl]]*Anreise_Besuchende[[#This Row],[Durchschnittliche Distanz 
(km einfach)]]*Anreise_Besuchende[[#This Row],[Scope 3 EF Nicht-CO2-Effekte '[kg CO2e/Einheit']]]*2,"")</f>
        <v/>
      </c>
    </row>
    <row r="23" spans="2:23" s="89" customFormat="1" x14ac:dyDescent="0.35">
      <c r="B23" s="616"/>
      <c r="C23" t="str">
        <f t="shared" si="0"/>
        <v>Anreise_Besuchende</v>
      </c>
      <c r="D23" s="90"/>
      <c r="E23" s="90"/>
      <c r="F23" s="288"/>
      <c r="G23" s="287"/>
      <c r="H23" s="287"/>
      <c r="I23" s="90"/>
      <c r="J23" s="90"/>
      <c r="K23" s="90"/>
      <c r="L23" s="289" t="str">
        <f>IF(ISBLANK(Anreise_Besuchende[[#This Row],[Besuchendenanzahl]]),"", SUM(Anreise_Besuchende[[#This Row],[Scope 1 CO2e '[kg CO2e']]:[Scope 3 CO2e '[kg CO2e']]]))</f>
        <v/>
      </c>
      <c r="M23" s="289" t="str">
        <f>IF(OR(ISBLANK(Anreise_Besuchende[[#This Row],[Besuchendenanzahl]]),Anreise_Besuchende[[#This Row],[Scope 3 Ergebnis Nicht-CO2 '[kg CO2e']]]=0),"",Anreise_Besuchende[[#This Row],[Scope 3 Ergebnis Nicht-CO2 '[kg CO2e']]])</f>
        <v/>
      </c>
      <c r="N23" s="15" t="str">
        <f>IF(ISBLANK(Anreise_Besuchende[[#This Row],[Verkehrsmittel (Dropdown)]]),"",CONCATENATE(Anreise_Besuchende[[#This Row],[Sektor_Thema]]," - ",Anreise_Besuchende[[#This Row],[Verkehrsmittel (Dropdown)]]))</f>
        <v/>
      </c>
      <c r="O23" s="15" t="str">
        <f>IF(ISBLANK(Anreise_Besuchende[[#This Row],[Verkehrsmittel (Dropdown)]]),"",AND(ISNUMBER(SEARCH("PKW",Anreise_Besuchende[[#This Row],[Verkehrsmittel (Dropdown)]])),ISNUMBER(Anreise_Besuchende[[#This Row],[PKW-Auslastung:
Personenzahl/ PKW
(optionale Angabe)]])))</f>
        <v/>
      </c>
      <c r="P23" s="15" t="str">
        <f>IFERROR(VLOOKUP(Anreise_Besuchende[[#This Row],[Thema_Bezeichung]],EFs_Besuchende[],5,FALSE),"")</f>
        <v/>
      </c>
      <c r="Q23" s="15" t="str">
        <f>IFERROR(VLOOKUP(Anreise_Besuchende[[#This Row],[Thema_Bezeichung]],EFs_Besuchende[],6,FALSE),"")</f>
        <v/>
      </c>
      <c r="R23" s="15" t="str">
        <f>IF(Anreise_Besuchende[[#This Row],[PKW - Auslastung angegeben?]]=TRUE,IFERROR((VLOOKUP(Anreise_Besuchende[[#This Row],[Thema_Bezeichung]],EFs_Besuchende[],7,FALSE)*VLOOKUP(Anreise_Besuchende[[#This Row],[Thema_Bezeichung]],EFs_Besuchende[],9,FALSE)/Anreise_Besuchende[[#This Row],[PKW-Auslastung:
Personenzahl/ PKW
(optionale Angabe)]]),""),IF(Anreise_Besuchende[[#This Row],[PKW - Auslastung angegeben?]]=FALSE,IFERROR(VLOOKUP(Anreise_Besuchende[[#This Row],[Thema_Bezeichung]],EFs_Besuchende[],7,FALSE),""),""))</f>
        <v/>
      </c>
      <c r="S23" s="15" t="str">
        <f>IFERROR(VLOOKUP(Anreise_Besuchende[[#This Row],[Thema_Bezeichung]],EFs_Besuchende[],8,FALSE),"")</f>
        <v/>
      </c>
      <c r="T23" s="15" t="str">
        <f>IFERROR(Anreise_Besuchende[[#This Row],[Besuchendenanzahl]]*Anreise_Besuchende[[#This Row],[Durchschnittliche Distanz 
(km einfach)]]*Anreise_Besuchende[[#This Row],[EF Scope 1 CO2e
(kg CO2e/Einheit)]]*2,"")</f>
        <v/>
      </c>
      <c r="U23" s="15" t="str">
        <f>IFERROR(Anreise_Besuchende[[#This Row],[Besuchendenanzahl]]*Anreise_Besuchende[[#This Row],[Durchschnittliche Distanz 
(km einfach)]]*Anreise_Besuchende[[#This Row],[EF Scope 2 CO2e
(kg CO2e/Einheit)]]*2,"")</f>
        <v/>
      </c>
      <c r="V23" s="15" t="str">
        <f>IFERROR(Anreise_Besuchende[[#This Row],[Besuchendenanzahl]]*Anreise_Besuchende[[#This Row],[Durchschnittliche Distanz 
(km einfach)]]*Anreise_Besuchende[[#This Row],[EF Scope 3 CO2e
(kg CO2e/Einheit)]]*2,"")</f>
        <v/>
      </c>
      <c r="W23" s="15" t="str">
        <f>IFERROR(Anreise_Besuchende[[#This Row],[Besuchendenanzahl]]*Anreise_Besuchende[[#This Row],[Durchschnittliche Distanz 
(km einfach)]]*Anreise_Besuchende[[#This Row],[Scope 3 EF Nicht-CO2-Effekte '[kg CO2e/Einheit']]]*2,"")</f>
        <v/>
      </c>
    </row>
    <row r="24" spans="2:23" s="89" customFormat="1" x14ac:dyDescent="0.35">
      <c r="B24" s="616"/>
      <c r="C24" t="str">
        <f t="shared" si="0"/>
        <v>Anreise_Besuchende</v>
      </c>
      <c r="D24" s="90"/>
      <c r="E24" s="90"/>
      <c r="F24" s="288"/>
      <c r="G24" s="287"/>
      <c r="H24" s="287"/>
      <c r="I24" s="90"/>
      <c r="J24" s="90"/>
      <c r="K24" s="90"/>
      <c r="L24" s="289" t="str">
        <f>IF(ISBLANK(Anreise_Besuchende[[#This Row],[Besuchendenanzahl]]),"", SUM(Anreise_Besuchende[[#This Row],[Scope 1 CO2e '[kg CO2e']]:[Scope 3 CO2e '[kg CO2e']]]))</f>
        <v/>
      </c>
      <c r="M24" s="289" t="str">
        <f>IF(OR(ISBLANK(Anreise_Besuchende[[#This Row],[Besuchendenanzahl]]),Anreise_Besuchende[[#This Row],[Scope 3 Ergebnis Nicht-CO2 '[kg CO2e']]]=0),"",Anreise_Besuchende[[#This Row],[Scope 3 Ergebnis Nicht-CO2 '[kg CO2e']]])</f>
        <v/>
      </c>
      <c r="N24" s="15" t="str">
        <f>IF(ISBLANK(Anreise_Besuchende[[#This Row],[Verkehrsmittel (Dropdown)]]),"",CONCATENATE(Anreise_Besuchende[[#This Row],[Sektor_Thema]]," - ",Anreise_Besuchende[[#This Row],[Verkehrsmittel (Dropdown)]]))</f>
        <v/>
      </c>
      <c r="O24" s="15" t="str">
        <f>IF(ISBLANK(Anreise_Besuchende[[#This Row],[Verkehrsmittel (Dropdown)]]),"",AND(ISNUMBER(SEARCH("PKW",Anreise_Besuchende[[#This Row],[Verkehrsmittel (Dropdown)]])),ISNUMBER(Anreise_Besuchende[[#This Row],[PKW-Auslastung:
Personenzahl/ PKW
(optionale Angabe)]])))</f>
        <v/>
      </c>
      <c r="P24" s="15" t="str">
        <f>IFERROR(VLOOKUP(Anreise_Besuchende[[#This Row],[Thema_Bezeichung]],EFs_Besuchende[],5,FALSE),"")</f>
        <v/>
      </c>
      <c r="Q24" s="15" t="str">
        <f>IFERROR(VLOOKUP(Anreise_Besuchende[[#This Row],[Thema_Bezeichung]],EFs_Besuchende[],6,FALSE),"")</f>
        <v/>
      </c>
      <c r="R24" s="15" t="str">
        <f>IF(Anreise_Besuchende[[#This Row],[PKW - Auslastung angegeben?]]=TRUE,IFERROR((VLOOKUP(Anreise_Besuchende[[#This Row],[Thema_Bezeichung]],EFs_Besuchende[],7,FALSE)*VLOOKUP(Anreise_Besuchende[[#This Row],[Thema_Bezeichung]],EFs_Besuchende[],9,FALSE)/Anreise_Besuchende[[#This Row],[PKW-Auslastung:
Personenzahl/ PKW
(optionale Angabe)]]),""),IF(Anreise_Besuchende[[#This Row],[PKW - Auslastung angegeben?]]=FALSE,IFERROR(VLOOKUP(Anreise_Besuchende[[#This Row],[Thema_Bezeichung]],EFs_Besuchende[],7,FALSE),""),""))</f>
        <v/>
      </c>
      <c r="S24" s="15" t="str">
        <f>IFERROR(VLOOKUP(Anreise_Besuchende[[#This Row],[Thema_Bezeichung]],EFs_Besuchende[],8,FALSE),"")</f>
        <v/>
      </c>
      <c r="T24" s="15" t="str">
        <f>IFERROR(Anreise_Besuchende[[#This Row],[Besuchendenanzahl]]*Anreise_Besuchende[[#This Row],[Durchschnittliche Distanz 
(km einfach)]]*Anreise_Besuchende[[#This Row],[EF Scope 1 CO2e
(kg CO2e/Einheit)]]*2,"")</f>
        <v/>
      </c>
      <c r="U24" s="15" t="str">
        <f>IFERROR(Anreise_Besuchende[[#This Row],[Besuchendenanzahl]]*Anreise_Besuchende[[#This Row],[Durchschnittliche Distanz 
(km einfach)]]*Anreise_Besuchende[[#This Row],[EF Scope 2 CO2e
(kg CO2e/Einheit)]]*2,"")</f>
        <v/>
      </c>
      <c r="V24" s="15" t="str">
        <f>IFERROR(Anreise_Besuchende[[#This Row],[Besuchendenanzahl]]*Anreise_Besuchende[[#This Row],[Durchschnittliche Distanz 
(km einfach)]]*Anreise_Besuchende[[#This Row],[EF Scope 3 CO2e
(kg CO2e/Einheit)]]*2,"")</f>
        <v/>
      </c>
      <c r="W24" s="15" t="str">
        <f>IFERROR(Anreise_Besuchende[[#This Row],[Besuchendenanzahl]]*Anreise_Besuchende[[#This Row],[Durchschnittliche Distanz 
(km einfach)]]*Anreise_Besuchende[[#This Row],[Scope 3 EF Nicht-CO2-Effekte '[kg CO2e/Einheit']]]*2,"")</f>
        <v/>
      </c>
    </row>
    <row r="25" spans="2:23" s="89" customFormat="1" x14ac:dyDescent="0.35">
      <c r="B25" s="616"/>
      <c r="C25" t="str">
        <f t="shared" si="0"/>
        <v>Anreise_Besuchende</v>
      </c>
      <c r="D25" s="90"/>
      <c r="E25" s="90"/>
      <c r="F25" s="288"/>
      <c r="G25" s="287"/>
      <c r="H25" s="287"/>
      <c r="I25" s="90"/>
      <c r="J25" s="90"/>
      <c r="K25" s="90"/>
      <c r="L25" s="289" t="str">
        <f>IF(ISBLANK(Anreise_Besuchende[[#This Row],[Besuchendenanzahl]]),"", SUM(Anreise_Besuchende[[#This Row],[Scope 1 CO2e '[kg CO2e']]:[Scope 3 CO2e '[kg CO2e']]]))</f>
        <v/>
      </c>
      <c r="M25" s="289" t="str">
        <f>IF(OR(ISBLANK(Anreise_Besuchende[[#This Row],[Besuchendenanzahl]]),Anreise_Besuchende[[#This Row],[Scope 3 Ergebnis Nicht-CO2 '[kg CO2e']]]=0),"",Anreise_Besuchende[[#This Row],[Scope 3 Ergebnis Nicht-CO2 '[kg CO2e']]])</f>
        <v/>
      </c>
      <c r="N25" s="15" t="str">
        <f>IF(ISBLANK(Anreise_Besuchende[[#This Row],[Verkehrsmittel (Dropdown)]]),"",CONCATENATE(Anreise_Besuchende[[#This Row],[Sektor_Thema]]," - ",Anreise_Besuchende[[#This Row],[Verkehrsmittel (Dropdown)]]))</f>
        <v/>
      </c>
      <c r="O25" s="15" t="str">
        <f>IF(ISBLANK(Anreise_Besuchende[[#This Row],[Verkehrsmittel (Dropdown)]]),"",AND(ISNUMBER(SEARCH("PKW",Anreise_Besuchende[[#This Row],[Verkehrsmittel (Dropdown)]])),ISNUMBER(Anreise_Besuchende[[#This Row],[PKW-Auslastung:
Personenzahl/ PKW
(optionale Angabe)]])))</f>
        <v/>
      </c>
      <c r="P25" s="15" t="str">
        <f>IFERROR(VLOOKUP(Anreise_Besuchende[[#This Row],[Thema_Bezeichung]],EFs_Besuchende[],5,FALSE),"")</f>
        <v/>
      </c>
      <c r="Q25" s="15" t="str">
        <f>IFERROR(VLOOKUP(Anreise_Besuchende[[#This Row],[Thema_Bezeichung]],EFs_Besuchende[],6,FALSE),"")</f>
        <v/>
      </c>
      <c r="R25" s="15" t="str">
        <f>IF(Anreise_Besuchende[[#This Row],[PKW - Auslastung angegeben?]]=TRUE,IFERROR((VLOOKUP(Anreise_Besuchende[[#This Row],[Thema_Bezeichung]],EFs_Besuchende[],7,FALSE)*VLOOKUP(Anreise_Besuchende[[#This Row],[Thema_Bezeichung]],EFs_Besuchende[],9,FALSE)/Anreise_Besuchende[[#This Row],[PKW-Auslastung:
Personenzahl/ PKW
(optionale Angabe)]]),""),IF(Anreise_Besuchende[[#This Row],[PKW - Auslastung angegeben?]]=FALSE,IFERROR(VLOOKUP(Anreise_Besuchende[[#This Row],[Thema_Bezeichung]],EFs_Besuchende[],7,FALSE),""),""))</f>
        <v/>
      </c>
      <c r="S25" s="15" t="str">
        <f>IFERROR(VLOOKUP(Anreise_Besuchende[[#This Row],[Thema_Bezeichung]],EFs_Besuchende[],8,FALSE),"")</f>
        <v/>
      </c>
      <c r="T25" s="15" t="str">
        <f>IFERROR(Anreise_Besuchende[[#This Row],[Besuchendenanzahl]]*Anreise_Besuchende[[#This Row],[Durchschnittliche Distanz 
(km einfach)]]*Anreise_Besuchende[[#This Row],[EF Scope 1 CO2e
(kg CO2e/Einheit)]]*2,"")</f>
        <v/>
      </c>
      <c r="U25" s="15" t="str">
        <f>IFERROR(Anreise_Besuchende[[#This Row],[Besuchendenanzahl]]*Anreise_Besuchende[[#This Row],[Durchschnittliche Distanz 
(km einfach)]]*Anreise_Besuchende[[#This Row],[EF Scope 2 CO2e
(kg CO2e/Einheit)]]*2,"")</f>
        <v/>
      </c>
      <c r="V25" s="15" t="str">
        <f>IFERROR(Anreise_Besuchende[[#This Row],[Besuchendenanzahl]]*Anreise_Besuchende[[#This Row],[Durchschnittliche Distanz 
(km einfach)]]*Anreise_Besuchende[[#This Row],[EF Scope 3 CO2e
(kg CO2e/Einheit)]]*2,"")</f>
        <v/>
      </c>
      <c r="W25" s="15" t="str">
        <f>IFERROR(Anreise_Besuchende[[#This Row],[Besuchendenanzahl]]*Anreise_Besuchende[[#This Row],[Durchschnittliche Distanz 
(km einfach)]]*Anreise_Besuchende[[#This Row],[Scope 3 EF Nicht-CO2-Effekte '[kg CO2e/Einheit']]]*2,"")</f>
        <v/>
      </c>
    </row>
    <row r="26" spans="2:23" s="89" customFormat="1" x14ac:dyDescent="0.35">
      <c r="B26" s="616"/>
      <c r="C26" t="str">
        <f t="shared" si="0"/>
        <v>Anreise_Besuchende</v>
      </c>
      <c r="D26" s="90"/>
      <c r="E26" s="90"/>
      <c r="F26" s="288"/>
      <c r="G26" s="287"/>
      <c r="H26" s="287"/>
      <c r="I26" s="90"/>
      <c r="J26" s="90"/>
      <c r="K26" s="90"/>
      <c r="L26" s="289" t="str">
        <f>IF(ISBLANK(Anreise_Besuchende[[#This Row],[Besuchendenanzahl]]),"", SUM(Anreise_Besuchende[[#This Row],[Scope 1 CO2e '[kg CO2e']]:[Scope 3 CO2e '[kg CO2e']]]))</f>
        <v/>
      </c>
      <c r="M26" s="289" t="str">
        <f>IF(OR(ISBLANK(Anreise_Besuchende[[#This Row],[Besuchendenanzahl]]),Anreise_Besuchende[[#This Row],[Scope 3 Ergebnis Nicht-CO2 '[kg CO2e']]]=0),"",Anreise_Besuchende[[#This Row],[Scope 3 Ergebnis Nicht-CO2 '[kg CO2e']]])</f>
        <v/>
      </c>
      <c r="N26" s="15" t="str">
        <f>IF(ISBLANK(Anreise_Besuchende[[#This Row],[Verkehrsmittel (Dropdown)]]),"",CONCATENATE(Anreise_Besuchende[[#This Row],[Sektor_Thema]]," - ",Anreise_Besuchende[[#This Row],[Verkehrsmittel (Dropdown)]]))</f>
        <v/>
      </c>
      <c r="O26" s="15" t="str">
        <f>IF(ISBLANK(Anreise_Besuchende[[#This Row],[Verkehrsmittel (Dropdown)]]),"",AND(ISNUMBER(SEARCH("PKW",Anreise_Besuchende[[#This Row],[Verkehrsmittel (Dropdown)]])),ISNUMBER(Anreise_Besuchende[[#This Row],[PKW-Auslastung:
Personenzahl/ PKW
(optionale Angabe)]])))</f>
        <v/>
      </c>
      <c r="P26" s="15" t="str">
        <f>IFERROR(VLOOKUP(Anreise_Besuchende[[#This Row],[Thema_Bezeichung]],EFs_Besuchende[],5,FALSE),"")</f>
        <v/>
      </c>
      <c r="Q26" s="15" t="str">
        <f>IFERROR(VLOOKUP(Anreise_Besuchende[[#This Row],[Thema_Bezeichung]],EFs_Besuchende[],6,FALSE),"")</f>
        <v/>
      </c>
      <c r="R26" s="15" t="str">
        <f>IF(Anreise_Besuchende[[#This Row],[PKW - Auslastung angegeben?]]=TRUE,IFERROR((VLOOKUP(Anreise_Besuchende[[#This Row],[Thema_Bezeichung]],EFs_Besuchende[],7,FALSE)*VLOOKUP(Anreise_Besuchende[[#This Row],[Thema_Bezeichung]],EFs_Besuchende[],9,FALSE)/Anreise_Besuchende[[#This Row],[PKW-Auslastung:
Personenzahl/ PKW
(optionale Angabe)]]),""),IF(Anreise_Besuchende[[#This Row],[PKW - Auslastung angegeben?]]=FALSE,IFERROR(VLOOKUP(Anreise_Besuchende[[#This Row],[Thema_Bezeichung]],EFs_Besuchende[],7,FALSE),""),""))</f>
        <v/>
      </c>
      <c r="S26" s="15" t="str">
        <f>IFERROR(VLOOKUP(Anreise_Besuchende[[#This Row],[Thema_Bezeichung]],EFs_Besuchende[],8,FALSE),"")</f>
        <v/>
      </c>
      <c r="T26" s="15" t="str">
        <f>IFERROR(Anreise_Besuchende[[#This Row],[Besuchendenanzahl]]*Anreise_Besuchende[[#This Row],[Durchschnittliche Distanz 
(km einfach)]]*Anreise_Besuchende[[#This Row],[EF Scope 1 CO2e
(kg CO2e/Einheit)]]*2,"")</f>
        <v/>
      </c>
      <c r="U26" s="15" t="str">
        <f>IFERROR(Anreise_Besuchende[[#This Row],[Besuchendenanzahl]]*Anreise_Besuchende[[#This Row],[Durchschnittliche Distanz 
(km einfach)]]*Anreise_Besuchende[[#This Row],[EF Scope 2 CO2e
(kg CO2e/Einheit)]]*2,"")</f>
        <v/>
      </c>
      <c r="V26" s="15" t="str">
        <f>IFERROR(Anreise_Besuchende[[#This Row],[Besuchendenanzahl]]*Anreise_Besuchende[[#This Row],[Durchschnittliche Distanz 
(km einfach)]]*Anreise_Besuchende[[#This Row],[EF Scope 3 CO2e
(kg CO2e/Einheit)]]*2,"")</f>
        <v/>
      </c>
      <c r="W26" s="15" t="str">
        <f>IFERROR(Anreise_Besuchende[[#This Row],[Besuchendenanzahl]]*Anreise_Besuchende[[#This Row],[Durchschnittliche Distanz 
(km einfach)]]*Anreise_Besuchende[[#This Row],[Scope 3 EF Nicht-CO2-Effekte '[kg CO2e/Einheit']]]*2,"")</f>
        <v/>
      </c>
    </row>
    <row r="27" spans="2:23" s="89" customFormat="1" x14ac:dyDescent="0.35">
      <c r="B27" s="616"/>
      <c r="C27" t="str">
        <f t="shared" si="0"/>
        <v>Anreise_Besuchende</v>
      </c>
      <c r="D27" s="90"/>
      <c r="E27" s="90"/>
      <c r="F27" s="288"/>
      <c r="G27" s="287"/>
      <c r="H27" s="287"/>
      <c r="I27" s="90"/>
      <c r="J27" s="90"/>
      <c r="K27" s="90"/>
      <c r="L27" s="289" t="str">
        <f>IF(ISBLANK(Anreise_Besuchende[[#This Row],[Besuchendenanzahl]]),"", SUM(Anreise_Besuchende[[#This Row],[Scope 1 CO2e '[kg CO2e']]:[Scope 3 CO2e '[kg CO2e']]]))</f>
        <v/>
      </c>
      <c r="M27" s="289" t="str">
        <f>IF(OR(ISBLANK(Anreise_Besuchende[[#This Row],[Besuchendenanzahl]]),Anreise_Besuchende[[#This Row],[Scope 3 Ergebnis Nicht-CO2 '[kg CO2e']]]=0),"",Anreise_Besuchende[[#This Row],[Scope 3 Ergebnis Nicht-CO2 '[kg CO2e']]])</f>
        <v/>
      </c>
      <c r="N27" s="15" t="str">
        <f>IF(ISBLANK(Anreise_Besuchende[[#This Row],[Verkehrsmittel (Dropdown)]]),"",CONCATENATE(Anreise_Besuchende[[#This Row],[Sektor_Thema]]," - ",Anreise_Besuchende[[#This Row],[Verkehrsmittel (Dropdown)]]))</f>
        <v/>
      </c>
      <c r="O27" s="15" t="str">
        <f>IF(ISBLANK(Anreise_Besuchende[[#This Row],[Verkehrsmittel (Dropdown)]]),"",AND(ISNUMBER(SEARCH("PKW",Anreise_Besuchende[[#This Row],[Verkehrsmittel (Dropdown)]])),ISNUMBER(Anreise_Besuchende[[#This Row],[PKW-Auslastung:
Personenzahl/ PKW
(optionale Angabe)]])))</f>
        <v/>
      </c>
      <c r="P27" s="15" t="str">
        <f>IFERROR(VLOOKUP(Anreise_Besuchende[[#This Row],[Thema_Bezeichung]],EFs_Besuchende[],5,FALSE),"")</f>
        <v/>
      </c>
      <c r="Q27" s="15" t="str">
        <f>IFERROR(VLOOKUP(Anreise_Besuchende[[#This Row],[Thema_Bezeichung]],EFs_Besuchende[],6,FALSE),"")</f>
        <v/>
      </c>
      <c r="R27" s="15" t="str">
        <f>IF(Anreise_Besuchende[[#This Row],[PKW - Auslastung angegeben?]]=TRUE,IFERROR((VLOOKUP(Anreise_Besuchende[[#This Row],[Thema_Bezeichung]],EFs_Besuchende[],7,FALSE)*VLOOKUP(Anreise_Besuchende[[#This Row],[Thema_Bezeichung]],EFs_Besuchende[],9,FALSE)/Anreise_Besuchende[[#This Row],[PKW-Auslastung:
Personenzahl/ PKW
(optionale Angabe)]]),""),IF(Anreise_Besuchende[[#This Row],[PKW - Auslastung angegeben?]]=FALSE,IFERROR(VLOOKUP(Anreise_Besuchende[[#This Row],[Thema_Bezeichung]],EFs_Besuchende[],7,FALSE),""),""))</f>
        <v/>
      </c>
      <c r="S27" s="15" t="str">
        <f>IFERROR(VLOOKUP(Anreise_Besuchende[[#This Row],[Thema_Bezeichung]],EFs_Besuchende[],8,FALSE),"")</f>
        <v/>
      </c>
      <c r="T27" s="15" t="str">
        <f>IFERROR(Anreise_Besuchende[[#This Row],[Besuchendenanzahl]]*Anreise_Besuchende[[#This Row],[Durchschnittliche Distanz 
(km einfach)]]*Anreise_Besuchende[[#This Row],[EF Scope 1 CO2e
(kg CO2e/Einheit)]]*2,"")</f>
        <v/>
      </c>
      <c r="U27" s="15" t="str">
        <f>IFERROR(Anreise_Besuchende[[#This Row],[Besuchendenanzahl]]*Anreise_Besuchende[[#This Row],[Durchschnittliche Distanz 
(km einfach)]]*Anreise_Besuchende[[#This Row],[EF Scope 2 CO2e
(kg CO2e/Einheit)]]*2,"")</f>
        <v/>
      </c>
      <c r="V27" s="15" t="str">
        <f>IFERROR(Anreise_Besuchende[[#This Row],[Besuchendenanzahl]]*Anreise_Besuchende[[#This Row],[Durchschnittliche Distanz 
(km einfach)]]*Anreise_Besuchende[[#This Row],[EF Scope 3 CO2e
(kg CO2e/Einheit)]]*2,"")</f>
        <v/>
      </c>
      <c r="W27" s="15" t="str">
        <f>IFERROR(Anreise_Besuchende[[#This Row],[Besuchendenanzahl]]*Anreise_Besuchende[[#This Row],[Durchschnittliche Distanz 
(km einfach)]]*Anreise_Besuchende[[#This Row],[Scope 3 EF Nicht-CO2-Effekte '[kg CO2e/Einheit']]]*2,"")</f>
        <v/>
      </c>
    </row>
    <row r="28" spans="2:23" s="89" customFormat="1" x14ac:dyDescent="0.35">
      <c r="B28" s="616"/>
      <c r="C28" t="str">
        <f t="shared" si="0"/>
        <v>Anreise_Besuchende</v>
      </c>
      <c r="D28" s="90"/>
      <c r="E28" s="90"/>
      <c r="F28" s="288"/>
      <c r="G28" s="287"/>
      <c r="H28" s="287"/>
      <c r="I28" s="90"/>
      <c r="J28" s="90"/>
      <c r="K28" s="90"/>
      <c r="L28" s="289" t="str">
        <f>IF(ISBLANK(Anreise_Besuchende[[#This Row],[Besuchendenanzahl]]),"", SUM(Anreise_Besuchende[[#This Row],[Scope 1 CO2e '[kg CO2e']]:[Scope 3 CO2e '[kg CO2e']]]))</f>
        <v/>
      </c>
      <c r="M28" s="289" t="str">
        <f>IF(OR(ISBLANK(Anreise_Besuchende[[#This Row],[Besuchendenanzahl]]),Anreise_Besuchende[[#This Row],[Scope 3 Ergebnis Nicht-CO2 '[kg CO2e']]]=0),"",Anreise_Besuchende[[#This Row],[Scope 3 Ergebnis Nicht-CO2 '[kg CO2e']]])</f>
        <v/>
      </c>
      <c r="N28" s="15" t="str">
        <f>IF(ISBLANK(Anreise_Besuchende[[#This Row],[Verkehrsmittel (Dropdown)]]),"",CONCATENATE(Anreise_Besuchende[[#This Row],[Sektor_Thema]]," - ",Anreise_Besuchende[[#This Row],[Verkehrsmittel (Dropdown)]]))</f>
        <v/>
      </c>
      <c r="O28" s="15" t="str">
        <f>IF(ISBLANK(Anreise_Besuchende[[#This Row],[Verkehrsmittel (Dropdown)]]),"",AND(ISNUMBER(SEARCH("PKW",Anreise_Besuchende[[#This Row],[Verkehrsmittel (Dropdown)]])),ISNUMBER(Anreise_Besuchende[[#This Row],[PKW-Auslastung:
Personenzahl/ PKW
(optionale Angabe)]])))</f>
        <v/>
      </c>
      <c r="P28" s="15" t="str">
        <f>IFERROR(VLOOKUP(Anreise_Besuchende[[#This Row],[Thema_Bezeichung]],EFs_Besuchende[],5,FALSE),"")</f>
        <v/>
      </c>
      <c r="Q28" s="15" t="str">
        <f>IFERROR(VLOOKUP(Anreise_Besuchende[[#This Row],[Thema_Bezeichung]],EFs_Besuchende[],6,FALSE),"")</f>
        <v/>
      </c>
      <c r="R28" s="15" t="str">
        <f>IF(Anreise_Besuchende[[#This Row],[PKW - Auslastung angegeben?]]=TRUE,IFERROR((VLOOKUP(Anreise_Besuchende[[#This Row],[Thema_Bezeichung]],EFs_Besuchende[],7,FALSE)*VLOOKUP(Anreise_Besuchende[[#This Row],[Thema_Bezeichung]],EFs_Besuchende[],9,FALSE)/Anreise_Besuchende[[#This Row],[PKW-Auslastung:
Personenzahl/ PKW
(optionale Angabe)]]),""),IF(Anreise_Besuchende[[#This Row],[PKW - Auslastung angegeben?]]=FALSE,IFERROR(VLOOKUP(Anreise_Besuchende[[#This Row],[Thema_Bezeichung]],EFs_Besuchende[],7,FALSE),""),""))</f>
        <v/>
      </c>
      <c r="S28" s="15" t="str">
        <f>IFERROR(VLOOKUP(Anreise_Besuchende[[#This Row],[Thema_Bezeichung]],EFs_Besuchende[],8,FALSE),"")</f>
        <v/>
      </c>
      <c r="T28" s="15" t="str">
        <f>IFERROR(Anreise_Besuchende[[#This Row],[Besuchendenanzahl]]*Anreise_Besuchende[[#This Row],[Durchschnittliche Distanz 
(km einfach)]]*Anreise_Besuchende[[#This Row],[EF Scope 1 CO2e
(kg CO2e/Einheit)]]*2,"")</f>
        <v/>
      </c>
      <c r="U28" s="15" t="str">
        <f>IFERROR(Anreise_Besuchende[[#This Row],[Besuchendenanzahl]]*Anreise_Besuchende[[#This Row],[Durchschnittliche Distanz 
(km einfach)]]*Anreise_Besuchende[[#This Row],[EF Scope 2 CO2e
(kg CO2e/Einheit)]]*2,"")</f>
        <v/>
      </c>
      <c r="V28" s="15" t="str">
        <f>IFERROR(Anreise_Besuchende[[#This Row],[Besuchendenanzahl]]*Anreise_Besuchende[[#This Row],[Durchschnittliche Distanz 
(km einfach)]]*Anreise_Besuchende[[#This Row],[EF Scope 3 CO2e
(kg CO2e/Einheit)]]*2,"")</f>
        <v/>
      </c>
      <c r="W28" s="15" t="str">
        <f>IFERROR(Anreise_Besuchende[[#This Row],[Besuchendenanzahl]]*Anreise_Besuchende[[#This Row],[Durchschnittliche Distanz 
(km einfach)]]*Anreise_Besuchende[[#This Row],[Scope 3 EF Nicht-CO2-Effekte '[kg CO2e/Einheit']]]*2,"")</f>
        <v/>
      </c>
    </row>
    <row r="29" spans="2:23" s="89" customFormat="1" x14ac:dyDescent="0.35">
      <c r="B29" s="616"/>
      <c r="C29" t="str">
        <f t="shared" si="0"/>
        <v>Anreise_Besuchende</v>
      </c>
      <c r="D29" s="90"/>
      <c r="E29" s="90"/>
      <c r="F29" s="288"/>
      <c r="G29" s="287"/>
      <c r="H29" s="287"/>
      <c r="I29" s="90"/>
      <c r="J29" s="90"/>
      <c r="K29" s="90"/>
      <c r="L29" s="289" t="str">
        <f>IF(ISBLANK(Anreise_Besuchende[[#This Row],[Besuchendenanzahl]]),"", SUM(Anreise_Besuchende[[#This Row],[Scope 1 CO2e '[kg CO2e']]:[Scope 3 CO2e '[kg CO2e']]]))</f>
        <v/>
      </c>
      <c r="M29" s="289" t="str">
        <f>IF(OR(ISBLANK(Anreise_Besuchende[[#This Row],[Besuchendenanzahl]]),Anreise_Besuchende[[#This Row],[Scope 3 Ergebnis Nicht-CO2 '[kg CO2e']]]=0),"",Anreise_Besuchende[[#This Row],[Scope 3 Ergebnis Nicht-CO2 '[kg CO2e']]])</f>
        <v/>
      </c>
      <c r="N29" s="15" t="str">
        <f>IF(ISBLANK(Anreise_Besuchende[[#This Row],[Verkehrsmittel (Dropdown)]]),"",CONCATENATE(Anreise_Besuchende[[#This Row],[Sektor_Thema]]," - ",Anreise_Besuchende[[#This Row],[Verkehrsmittel (Dropdown)]]))</f>
        <v/>
      </c>
      <c r="O29" s="15" t="str">
        <f>IF(ISBLANK(Anreise_Besuchende[[#This Row],[Verkehrsmittel (Dropdown)]]),"",AND(ISNUMBER(SEARCH("PKW",Anreise_Besuchende[[#This Row],[Verkehrsmittel (Dropdown)]])),ISNUMBER(Anreise_Besuchende[[#This Row],[PKW-Auslastung:
Personenzahl/ PKW
(optionale Angabe)]])))</f>
        <v/>
      </c>
      <c r="P29" s="15" t="str">
        <f>IFERROR(VLOOKUP(Anreise_Besuchende[[#This Row],[Thema_Bezeichung]],EFs_Besuchende[],5,FALSE),"")</f>
        <v/>
      </c>
      <c r="Q29" s="15" t="str">
        <f>IFERROR(VLOOKUP(Anreise_Besuchende[[#This Row],[Thema_Bezeichung]],EFs_Besuchende[],6,FALSE),"")</f>
        <v/>
      </c>
      <c r="R29" s="15" t="str">
        <f>IF(Anreise_Besuchende[[#This Row],[PKW - Auslastung angegeben?]]=TRUE,IFERROR((VLOOKUP(Anreise_Besuchende[[#This Row],[Thema_Bezeichung]],EFs_Besuchende[],7,FALSE)*VLOOKUP(Anreise_Besuchende[[#This Row],[Thema_Bezeichung]],EFs_Besuchende[],9,FALSE)/Anreise_Besuchende[[#This Row],[PKW-Auslastung:
Personenzahl/ PKW
(optionale Angabe)]]),""),IF(Anreise_Besuchende[[#This Row],[PKW - Auslastung angegeben?]]=FALSE,IFERROR(VLOOKUP(Anreise_Besuchende[[#This Row],[Thema_Bezeichung]],EFs_Besuchende[],7,FALSE),""),""))</f>
        <v/>
      </c>
      <c r="S29" s="15" t="str">
        <f>IFERROR(VLOOKUP(Anreise_Besuchende[[#This Row],[Thema_Bezeichung]],EFs_Besuchende[],8,FALSE),"")</f>
        <v/>
      </c>
      <c r="T29" s="15" t="str">
        <f>IFERROR(Anreise_Besuchende[[#This Row],[Besuchendenanzahl]]*Anreise_Besuchende[[#This Row],[Durchschnittliche Distanz 
(km einfach)]]*Anreise_Besuchende[[#This Row],[EF Scope 1 CO2e
(kg CO2e/Einheit)]]*2,"")</f>
        <v/>
      </c>
      <c r="U29" s="15" t="str">
        <f>IFERROR(Anreise_Besuchende[[#This Row],[Besuchendenanzahl]]*Anreise_Besuchende[[#This Row],[Durchschnittliche Distanz 
(km einfach)]]*Anreise_Besuchende[[#This Row],[EF Scope 2 CO2e
(kg CO2e/Einheit)]]*2,"")</f>
        <v/>
      </c>
      <c r="V29" s="15" t="str">
        <f>IFERROR(Anreise_Besuchende[[#This Row],[Besuchendenanzahl]]*Anreise_Besuchende[[#This Row],[Durchschnittliche Distanz 
(km einfach)]]*Anreise_Besuchende[[#This Row],[EF Scope 3 CO2e
(kg CO2e/Einheit)]]*2,"")</f>
        <v/>
      </c>
      <c r="W29" s="15" t="str">
        <f>IFERROR(Anreise_Besuchende[[#This Row],[Besuchendenanzahl]]*Anreise_Besuchende[[#This Row],[Durchschnittliche Distanz 
(km einfach)]]*Anreise_Besuchende[[#This Row],[Scope 3 EF Nicht-CO2-Effekte '[kg CO2e/Einheit']]]*2,"")</f>
        <v/>
      </c>
    </row>
    <row r="30" spans="2:23" s="89" customFormat="1" x14ac:dyDescent="0.35">
      <c r="B30" s="616"/>
      <c r="C30" t="str">
        <f t="shared" si="0"/>
        <v>Anreise_Besuchende</v>
      </c>
      <c r="D30" s="90"/>
      <c r="E30" s="90"/>
      <c r="F30" s="288"/>
      <c r="G30" s="287"/>
      <c r="H30" s="287"/>
      <c r="I30" s="90"/>
      <c r="J30" s="90"/>
      <c r="K30" s="90"/>
      <c r="L30" s="289" t="str">
        <f>IF(ISBLANK(Anreise_Besuchende[[#This Row],[Besuchendenanzahl]]),"", SUM(Anreise_Besuchende[[#This Row],[Scope 1 CO2e '[kg CO2e']]:[Scope 3 CO2e '[kg CO2e']]]))</f>
        <v/>
      </c>
      <c r="M30" s="289" t="str">
        <f>IF(OR(ISBLANK(Anreise_Besuchende[[#This Row],[Besuchendenanzahl]]),Anreise_Besuchende[[#This Row],[Scope 3 Ergebnis Nicht-CO2 '[kg CO2e']]]=0),"",Anreise_Besuchende[[#This Row],[Scope 3 Ergebnis Nicht-CO2 '[kg CO2e']]])</f>
        <v/>
      </c>
      <c r="N30" s="15" t="str">
        <f>IF(ISBLANK(Anreise_Besuchende[[#This Row],[Verkehrsmittel (Dropdown)]]),"",CONCATENATE(Anreise_Besuchende[[#This Row],[Sektor_Thema]]," - ",Anreise_Besuchende[[#This Row],[Verkehrsmittel (Dropdown)]]))</f>
        <v/>
      </c>
      <c r="O30" s="15" t="str">
        <f>IF(ISBLANK(Anreise_Besuchende[[#This Row],[Verkehrsmittel (Dropdown)]]),"",AND(ISNUMBER(SEARCH("PKW",Anreise_Besuchende[[#This Row],[Verkehrsmittel (Dropdown)]])),ISNUMBER(Anreise_Besuchende[[#This Row],[PKW-Auslastung:
Personenzahl/ PKW
(optionale Angabe)]])))</f>
        <v/>
      </c>
      <c r="P30" s="15" t="str">
        <f>IFERROR(VLOOKUP(Anreise_Besuchende[[#This Row],[Thema_Bezeichung]],EFs_Besuchende[],5,FALSE),"")</f>
        <v/>
      </c>
      <c r="Q30" s="15" t="str">
        <f>IFERROR(VLOOKUP(Anreise_Besuchende[[#This Row],[Thema_Bezeichung]],EFs_Besuchende[],6,FALSE),"")</f>
        <v/>
      </c>
      <c r="R30" s="15" t="str">
        <f>IF(Anreise_Besuchende[[#This Row],[PKW - Auslastung angegeben?]]=TRUE,IFERROR((VLOOKUP(Anreise_Besuchende[[#This Row],[Thema_Bezeichung]],EFs_Besuchende[],7,FALSE)*VLOOKUP(Anreise_Besuchende[[#This Row],[Thema_Bezeichung]],EFs_Besuchende[],9,FALSE)/Anreise_Besuchende[[#This Row],[PKW-Auslastung:
Personenzahl/ PKW
(optionale Angabe)]]),""),IF(Anreise_Besuchende[[#This Row],[PKW - Auslastung angegeben?]]=FALSE,IFERROR(VLOOKUP(Anreise_Besuchende[[#This Row],[Thema_Bezeichung]],EFs_Besuchende[],7,FALSE),""),""))</f>
        <v/>
      </c>
      <c r="S30" s="15" t="str">
        <f>IFERROR(VLOOKUP(Anreise_Besuchende[[#This Row],[Thema_Bezeichung]],EFs_Besuchende[],8,FALSE),"")</f>
        <v/>
      </c>
      <c r="T30" s="15" t="str">
        <f>IFERROR(Anreise_Besuchende[[#This Row],[Besuchendenanzahl]]*Anreise_Besuchende[[#This Row],[Durchschnittliche Distanz 
(km einfach)]]*Anreise_Besuchende[[#This Row],[EF Scope 1 CO2e
(kg CO2e/Einheit)]]*2,"")</f>
        <v/>
      </c>
      <c r="U30" s="15" t="str">
        <f>IFERROR(Anreise_Besuchende[[#This Row],[Besuchendenanzahl]]*Anreise_Besuchende[[#This Row],[Durchschnittliche Distanz 
(km einfach)]]*Anreise_Besuchende[[#This Row],[EF Scope 2 CO2e
(kg CO2e/Einheit)]]*2,"")</f>
        <v/>
      </c>
      <c r="V30" s="15" t="str">
        <f>IFERROR(Anreise_Besuchende[[#This Row],[Besuchendenanzahl]]*Anreise_Besuchende[[#This Row],[Durchschnittliche Distanz 
(km einfach)]]*Anreise_Besuchende[[#This Row],[EF Scope 3 CO2e
(kg CO2e/Einheit)]]*2,"")</f>
        <v/>
      </c>
      <c r="W30" s="15" t="str">
        <f>IFERROR(Anreise_Besuchende[[#This Row],[Besuchendenanzahl]]*Anreise_Besuchende[[#This Row],[Durchschnittliche Distanz 
(km einfach)]]*Anreise_Besuchende[[#This Row],[Scope 3 EF Nicht-CO2-Effekte '[kg CO2e/Einheit']]]*2,"")</f>
        <v/>
      </c>
    </row>
    <row r="31" spans="2:23" s="89" customFormat="1" x14ac:dyDescent="0.35">
      <c r="B31" s="616"/>
      <c r="C31" t="str">
        <f t="shared" si="0"/>
        <v>Anreise_Besuchende</v>
      </c>
      <c r="D31" s="90"/>
      <c r="E31" s="90"/>
      <c r="F31" s="288"/>
      <c r="G31" s="287"/>
      <c r="H31" s="287"/>
      <c r="I31" s="90"/>
      <c r="J31" s="90"/>
      <c r="K31" s="90"/>
      <c r="L31" s="289" t="str">
        <f>IF(ISBLANK(Anreise_Besuchende[[#This Row],[Besuchendenanzahl]]),"", SUM(Anreise_Besuchende[[#This Row],[Scope 1 CO2e '[kg CO2e']]:[Scope 3 CO2e '[kg CO2e']]]))</f>
        <v/>
      </c>
      <c r="M31" s="289" t="str">
        <f>IF(OR(ISBLANK(Anreise_Besuchende[[#This Row],[Besuchendenanzahl]]),Anreise_Besuchende[[#This Row],[Scope 3 Ergebnis Nicht-CO2 '[kg CO2e']]]=0),"",Anreise_Besuchende[[#This Row],[Scope 3 Ergebnis Nicht-CO2 '[kg CO2e']]])</f>
        <v/>
      </c>
      <c r="N31" s="15" t="str">
        <f>IF(ISBLANK(Anreise_Besuchende[[#This Row],[Verkehrsmittel (Dropdown)]]),"",CONCATENATE(Anreise_Besuchende[[#This Row],[Sektor_Thema]]," - ",Anreise_Besuchende[[#This Row],[Verkehrsmittel (Dropdown)]]))</f>
        <v/>
      </c>
      <c r="O31" s="15" t="str">
        <f>IF(ISBLANK(Anreise_Besuchende[[#This Row],[Verkehrsmittel (Dropdown)]]),"",AND(ISNUMBER(SEARCH("PKW",Anreise_Besuchende[[#This Row],[Verkehrsmittel (Dropdown)]])),ISNUMBER(Anreise_Besuchende[[#This Row],[PKW-Auslastung:
Personenzahl/ PKW
(optionale Angabe)]])))</f>
        <v/>
      </c>
      <c r="P31" s="15" t="str">
        <f>IFERROR(VLOOKUP(Anreise_Besuchende[[#This Row],[Thema_Bezeichung]],EFs_Besuchende[],5,FALSE),"")</f>
        <v/>
      </c>
      <c r="Q31" s="15" t="str">
        <f>IFERROR(VLOOKUP(Anreise_Besuchende[[#This Row],[Thema_Bezeichung]],EFs_Besuchende[],6,FALSE),"")</f>
        <v/>
      </c>
      <c r="R31" s="15" t="str">
        <f>IF(Anreise_Besuchende[[#This Row],[PKW - Auslastung angegeben?]]=TRUE,IFERROR((VLOOKUP(Anreise_Besuchende[[#This Row],[Thema_Bezeichung]],EFs_Besuchende[],7,FALSE)*VLOOKUP(Anreise_Besuchende[[#This Row],[Thema_Bezeichung]],EFs_Besuchende[],9,FALSE)/Anreise_Besuchende[[#This Row],[PKW-Auslastung:
Personenzahl/ PKW
(optionale Angabe)]]),""),IF(Anreise_Besuchende[[#This Row],[PKW - Auslastung angegeben?]]=FALSE,IFERROR(VLOOKUP(Anreise_Besuchende[[#This Row],[Thema_Bezeichung]],EFs_Besuchende[],7,FALSE),""),""))</f>
        <v/>
      </c>
      <c r="S31" s="15" t="str">
        <f>IFERROR(VLOOKUP(Anreise_Besuchende[[#This Row],[Thema_Bezeichung]],EFs_Besuchende[],8,FALSE),"")</f>
        <v/>
      </c>
      <c r="T31" s="15" t="str">
        <f>IFERROR(Anreise_Besuchende[[#This Row],[Besuchendenanzahl]]*Anreise_Besuchende[[#This Row],[Durchschnittliche Distanz 
(km einfach)]]*Anreise_Besuchende[[#This Row],[EF Scope 1 CO2e
(kg CO2e/Einheit)]]*2,"")</f>
        <v/>
      </c>
      <c r="U31" s="15" t="str">
        <f>IFERROR(Anreise_Besuchende[[#This Row],[Besuchendenanzahl]]*Anreise_Besuchende[[#This Row],[Durchschnittliche Distanz 
(km einfach)]]*Anreise_Besuchende[[#This Row],[EF Scope 2 CO2e
(kg CO2e/Einheit)]]*2,"")</f>
        <v/>
      </c>
      <c r="V31" s="15" t="str">
        <f>IFERROR(Anreise_Besuchende[[#This Row],[Besuchendenanzahl]]*Anreise_Besuchende[[#This Row],[Durchschnittliche Distanz 
(km einfach)]]*Anreise_Besuchende[[#This Row],[EF Scope 3 CO2e
(kg CO2e/Einheit)]]*2,"")</f>
        <v/>
      </c>
      <c r="W31" s="15" t="str">
        <f>IFERROR(Anreise_Besuchende[[#This Row],[Besuchendenanzahl]]*Anreise_Besuchende[[#This Row],[Durchschnittliche Distanz 
(km einfach)]]*Anreise_Besuchende[[#This Row],[Scope 3 EF Nicht-CO2-Effekte '[kg CO2e/Einheit']]]*2,"")</f>
        <v/>
      </c>
    </row>
    <row r="32" spans="2:23" s="89" customFormat="1" x14ac:dyDescent="0.35">
      <c r="B32" s="616"/>
      <c r="C32" t="str">
        <f t="shared" si="0"/>
        <v>Anreise_Besuchende</v>
      </c>
      <c r="D32" s="90"/>
      <c r="E32" s="90"/>
      <c r="F32" s="288"/>
      <c r="G32" s="287"/>
      <c r="H32" s="287"/>
      <c r="I32" s="90"/>
      <c r="J32" s="90"/>
      <c r="K32" s="90"/>
      <c r="L32" s="289" t="str">
        <f>IF(ISBLANK(Anreise_Besuchende[[#This Row],[Besuchendenanzahl]]),"", SUM(Anreise_Besuchende[[#This Row],[Scope 1 CO2e '[kg CO2e']]:[Scope 3 CO2e '[kg CO2e']]]))</f>
        <v/>
      </c>
      <c r="M32" s="289" t="str">
        <f>IF(OR(ISBLANK(Anreise_Besuchende[[#This Row],[Besuchendenanzahl]]),Anreise_Besuchende[[#This Row],[Scope 3 Ergebnis Nicht-CO2 '[kg CO2e']]]=0),"",Anreise_Besuchende[[#This Row],[Scope 3 Ergebnis Nicht-CO2 '[kg CO2e']]])</f>
        <v/>
      </c>
      <c r="N32" s="15" t="str">
        <f>IF(ISBLANK(Anreise_Besuchende[[#This Row],[Verkehrsmittel (Dropdown)]]),"",CONCATENATE(Anreise_Besuchende[[#This Row],[Sektor_Thema]]," - ",Anreise_Besuchende[[#This Row],[Verkehrsmittel (Dropdown)]]))</f>
        <v/>
      </c>
      <c r="O32" s="15" t="str">
        <f>IF(ISBLANK(Anreise_Besuchende[[#This Row],[Verkehrsmittel (Dropdown)]]),"",AND(ISNUMBER(SEARCH("PKW",Anreise_Besuchende[[#This Row],[Verkehrsmittel (Dropdown)]])),ISNUMBER(Anreise_Besuchende[[#This Row],[PKW-Auslastung:
Personenzahl/ PKW
(optionale Angabe)]])))</f>
        <v/>
      </c>
      <c r="P32" s="15" t="str">
        <f>IFERROR(VLOOKUP(Anreise_Besuchende[[#This Row],[Thema_Bezeichung]],EFs_Besuchende[],5,FALSE),"")</f>
        <v/>
      </c>
      <c r="Q32" s="15" t="str">
        <f>IFERROR(VLOOKUP(Anreise_Besuchende[[#This Row],[Thema_Bezeichung]],EFs_Besuchende[],6,FALSE),"")</f>
        <v/>
      </c>
      <c r="R32" s="15" t="str">
        <f>IF(Anreise_Besuchende[[#This Row],[PKW - Auslastung angegeben?]]=TRUE,IFERROR((VLOOKUP(Anreise_Besuchende[[#This Row],[Thema_Bezeichung]],EFs_Besuchende[],7,FALSE)*VLOOKUP(Anreise_Besuchende[[#This Row],[Thema_Bezeichung]],EFs_Besuchende[],9,FALSE)/Anreise_Besuchende[[#This Row],[PKW-Auslastung:
Personenzahl/ PKW
(optionale Angabe)]]),""),IF(Anreise_Besuchende[[#This Row],[PKW - Auslastung angegeben?]]=FALSE,IFERROR(VLOOKUP(Anreise_Besuchende[[#This Row],[Thema_Bezeichung]],EFs_Besuchende[],7,FALSE),""),""))</f>
        <v/>
      </c>
      <c r="S32" s="15" t="str">
        <f>IFERROR(VLOOKUP(Anreise_Besuchende[[#This Row],[Thema_Bezeichung]],EFs_Besuchende[],8,FALSE),"")</f>
        <v/>
      </c>
      <c r="T32" s="15" t="str">
        <f>IFERROR(Anreise_Besuchende[[#This Row],[Besuchendenanzahl]]*Anreise_Besuchende[[#This Row],[Durchschnittliche Distanz 
(km einfach)]]*Anreise_Besuchende[[#This Row],[EF Scope 1 CO2e
(kg CO2e/Einheit)]]*2,"")</f>
        <v/>
      </c>
      <c r="U32" s="15" t="str">
        <f>IFERROR(Anreise_Besuchende[[#This Row],[Besuchendenanzahl]]*Anreise_Besuchende[[#This Row],[Durchschnittliche Distanz 
(km einfach)]]*Anreise_Besuchende[[#This Row],[EF Scope 2 CO2e
(kg CO2e/Einheit)]]*2,"")</f>
        <v/>
      </c>
      <c r="V32" s="15" t="str">
        <f>IFERROR(Anreise_Besuchende[[#This Row],[Besuchendenanzahl]]*Anreise_Besuchende[[#This Row],[Durchschnittliche Distanz 
(km einfach)]]*Anreise_Besuchende[[#This Row],[EF Scope 3 CO2e
(kg CO2e/Einheit)]]*2,"")</f>
        <v/>
      </c>
      <c r="W32" s="15" t="str">
        <f>IFERROR(Anreise_Besuchende[[#This Row],[Besuchendenanzahl]]*Anreise_Besuchende[[#This Row],[Durchschnittliche Distanz 
(km einfach)]]*Anreise_Besuchende[[#This Row],[Scope 3 EF Nicht-CO2-Effekte '[kg CO2e/Einheit']]]*2,"")</f>
        <v/>
      </c>
    </row>
    <row r="33" spans="2:23" s="89" customFormat="1" x14ac:dyDescent="0.35">
      <c r="B33" s="616"/>
      <c r="C33" t="str">
        <f t="shared" si="0"/>
        <v>Anreise_Besuchende</v>
      </c>
      <c r="D33" s="90"/>
      <c r="E33" s="90"/>
      <c r="F33" s="288"/>
      <c r="G33" s="287"/>
      <c r="H33" s="287"/>
      <c r="I33" s="90"/>
      <c r="J33" s="90"/>
      <c r="K33" s="90"/>
      <c r="L33" s="289" t="str">
        <f>IF(ISBLANK(Anreise_Besuchende[[#This Row],[Besuchendenanzahl]]),"", SUM(Anreise_Besuchende[[#This Row],[Scope 1 CO2e '[kg CO2e']]:[Scope 3 CO2e '[kg CO2e']]]))</f>
        <v/>
      </c>
      <c r="M33" s="289" t="str">
        <f>IF(OR(ISBLANK(Anreise_Besuchende[[#This Row],[Besuchendenanzahl]]),Anreise_Besuchende[[#This Row],[Scope 3 Ergebnis Nicht-CO2 '[kg CO2e']]]=0),"",Anreise_Besuchende[[#This Row],[Scope 3 Ergebnis Nicht-CO2 '[kg CO2e']]])</f>
        <v/>
      </c>
      <c r="N33" s="15" t="str">
        <f>IF(ISBLANK(Anreise_Besuchende[[#This Row],[Verkehrsmittel (Dropdown)]]),"",CONCATENATE(Anreise_Besuchende[[#This Row],[Sektor_Thema]]," - ",Anreise_Besuchende[[#This Row],[Verkehrsmittel (Dropdown)]]))</f>
        <v/>
      </c>
      <c r="O33" s="15" t="str">
        <f>IF(ISBLANK(Anreise_Besuchende[[#This Row],[Verkehrsmittel (Dropdown)]]),"",AND(ISNUMBER(SEARCH("PKW",Anreise_Besuchende[[#This Row],[Verkehrsmittel (Dropdown)]])),ISNUMBER(Anreise_Besuchende[[#This Row],[PKW-Auslastung:
Personenzahl/ PKW
(optionale Angabe)]])))</f>
        <v/>
      </c>
      <c r="P33" s="15" t="str">
        <f>IFERROR(VLOOKUP(Anreise_Besuchende[[#This Row],[Thema_Bezeichung]],EFs_Besuchende[],5,FALSE),"")</f>
        <v/>
      </c>
      <c r="Q33" s="15" t="str">
        <f>IFERROR(VLOOKUP(Anreise_Besuchende[[#This Row],[Thema_Bezeichung]],EFs_Besuchende[],6,FALSE),"")</f>
        <v/>
      </c>
      <c r="R33" s="15" t="str">
        <f>IF(Anreise_Besuchende[[#This Row],[PKW - Auslastung angegeben?]]=TRUE,IFERROR((VLOOKUP(Anreise_Besuchende[[#This Row],[Thema_Bezeichung]],EFs_Besuchende[],7,FALSE)*VLOOKUP(Anreise_Besuchende[[#This Row],[Thema_Bezeichung]],EFs_Besuchende[],9,FALSE)/Anreise_Besuchende[[#This Row],[PKW-Auslastung:
Personenzahl/ PKW
(optionale Angabe)]]),""),IF(Anreise_Besuchende[[#This Row],[PKW - Auslastung angegeben?]]=FALSE,IFERROR(VLOOKUP(Anreise_Besuchende[[#This Row],[Thema_Bezeichung]],EFs_Besuchende[],7,FALSE),""),""))</f>
        <v/>
      </c>
      <c r="S33" s="15" t="str">
        <f>IFERROR(VLOOKUP(Anreise_Besuchende[[#This Row],[Thema_Bezeichung]],EFs_Besuchende[],8,FALSE),"")</f>
        <v/>
      </c>
      <c r="T33" s="15" t="str">
        <f>IFERROR(Anreise_Besuchende[[#This Row],[Besuchendenanzahl]]*Anreise_Besuchende[[#This Row],[Durchschnittliche Distanz 
(km einfach)]]*Anreise_Besuchende[[#This Row],[EF Scope 1 CO2e
(kg CO2e/Einheit)]]*2,"")</f>
        <v/>
      </c>
      <c r="U33" s="15" t="str">
        <f>IFERROR(Anreise_Besuchende[[#This Row],[Besuchendenanzahl]]*Anreise_Besuchende[[#This Row],[Durchschnittliche Distanz 
(km einfach)]]*Anreise_Besuchende[[#This Row],[EF Scope 2 CO2e
(kg CO2e/Einheit)]]*2,"")</f>
        <v/>
      </c>
      <c r="V33" s="15" t="str">
        <f>IFERROR(Anreise_Besuchende[[#This Row],[Besuchendenanzahl]]*Anreise_Besuchende[[#This Row],[Durchschnittliche Distanz 
(km einfach)]]*Anreise_Besuchende[[#This Row],[EF Scope 3 CO2e
(kg CO2e/Einheit)]]*2,"")</f>
        <v/>
      </c>
      <c r="W33" s="15" t="str">
        <f>IFERROR(Anreise_Besuchende[[#This Row],[Besuchendenanzahl]]*Anreise_Besuchende[[#This Row],[Durchschnittliche Distanz 
(km einfach)]]*Anreise_Besuchende[[#This Row],[Scope 3 EF Nicht-CO2-Effekte '[kg CO2e/Einheit']]]*2,"")</f>
        <v/>
      </c>
    </row>
    <row r="34" spans="2:23" s="89" customFormat="1" x14ac:dyDescent="0.35">
      <c r="B34" s="616"/>
      <c r="C34" t="str">
        <f t="shared" si="0"/>
        <v>Anreise_Besuchende</v>
      </c>
      <c r="D34" s="90"/>
      <c r="E34" s="90"/>
      <c r="F34" s="288"/>
      <c r="G34" s="287"/>
      <c r="H34" s="287"/>
      <c r="I34" s="90"/>
      <c r="J34" s="90"/>
      <c r="K34" s="90"/>
      <c r="L34" s="289" t="str">
        <f>IF(ISBLANK(Anreise_Besuchende[[#This Row],[Besuchendenanzahl]]),"", SUM(Anreise_Besuchende[[#This Row],[Scope 1 CO2e '[kg CO2e']]:[Scope 3 CO2e '[kg CO2e']]]))</f>
        <v/>
      </c>
      <c r="M34" s="289" t="str">
        <f>IF(OR(ISBLANK(Anreise_Besuchende[[#This Row],[Besuchendenanzahl]]),Anreise_Besuchende[[#This Row],[Scope 3 Ergebnis Nicht-CO2 '[kg CO2e']]]=0),"",Anreise_Besuchende[[#This Row],[Scope 3 Ergebnis Nicht-CO2 '[kg CO2e']]])</f>
        <v/>
      </c>
      <c r="N34" s="15" t="str">
        <f>IF(ISBLANK(Anreise_Besuchende[[#This Row],[Verkehrsmittel (Dropdown)]]),"",CONCATENATE(Anreise_Besuchende[[#This Row],[Sektor_Thema]]," - ",Anreise_Besuchende[[#This Row],[Verkehrsmittel (Dropdown)]]))</f>
        <v/>
      </c>
      <c r="O34" s="15" t="str">
        <f>IF(ISBLANK(Anreise_Besuchende[[#This Row],[Verkehrsmittel (Dropdown)]]),"",AND(ISNUMBER(SEARCH("PKW",Anreise_Besuchende[[#This Row],[Verkehrsmittel (Dropdown)]])),ISNUMBER(Anreise_Besuchende[[#This Row],[PKW-Auslastung:
Personenzahl/ PKW
(optionale Angabe)]])))</f>
        <v/>
      </c>
      <c r="P34" s="15" t="str">
        <f>IFERROR(VLOOKUP(Anreise_Besuchende[[#This Row],[Thema_Bezeichung]],EFs_Besuchende[],5,FALSE),"")</f>
        <v/>
      </c>
      <c r="Q34" s="15" t="str">
        <f>IFERROR(VLOOKUP(Anreise_Besuchende[[#This Row],[Thema_Bezeichung]],EFs_Besuchende[],6,FALSE),"")</f>
        <v/>
      </c>
      <c r="R34" s="15" t="str">
        <f>IF(Anreise_Besuchende[[#This Row],[PKW - Auslastung angegeben?]]=TRUE,IFERROR((VLOOKUP(Anreise_Besuchende[[#This Row],[Thema_Bezeichung]],EFs_Besuchende[],7,FALSE)*VLOOKUP(Anreise_Besuchende[[#This Row],[Thema_Bezeichung]],EFs_Besuchende[],9,FALSE)/Anreise_Besuchende[[#This Row],[PKW-Auslastung:
Personenzahl/ PKW
(optionale Angabe)]]),""),IF(Anreise_Besuchende[[#This Row],[PKW - Auslastung angegeben?]]=FALSE,IFERROR(VLOOKUP(Anreise_Besuchende[[#This Row],[Thema_Bezeichung]],EFs_Besuchende[],7,FALSE),""),""))</f>
        <v/>
      </c>
      <c r="S34" s="15" t="str">
        <f>IFERROR(VLOOKUP(Anreise_Besuchende[[#This Row],[Thema_Bezeichung]],EFs_Besuchende[],8,FALSE),"")</f>
        <v/>
      </c>
      <c r="T34" s="15" t="str">
        <f>IFERROR(Anreise_Besuchende[[#This Row],[Besuchendenanzahl]]*Anreise_Besuchende[[#This Row],[Durchschnittliche Distanz 
(km einfach)]]*Anreise_Besuchende[[#This Row],[EF Scope 1 CO2e
(kg CO2e/Einheit)]]*2,"")</f>
        <v/>
      </c>
      <c r="U34" s="15" t="str">
        <f>IFERROR(Anreise_Besuchende[[#This Row],[Besuchendenanzahl]]*Anreise_Besuchende[[#This Row],[Durchschnittliche Distanz 
(km einfach)]]*Anreise_Besuchende[[#This Row],[EF Scope 2 CO2e
(kg CO2e/Einheit)]]*2,"")</f>
        <v/>
      </c>
      <c r="V34" s="15" t="str">
        <f>IFERROR(Anreise_Besuchende[[#This Row],[Besuchendenanzahl]]*Anreise_Besuchende[[#This Row],[Durchschnittliche Distanz 
(km einfach)]]*Anreise_Besuchende[[#This Row],[EF Scope 3 CO2e
(kg CO2e/Einheit)]]*2,"")</f>
        <v/>
      </c>
      <c r="W34" s="15" t="str">
        <f>IFERROR(Anreise_Besuchende[[#This Row],[Besuchendenanzahl]]*Anreise_Besuchende[[#This Row],[Durchschnittliche Distanz 
(km einfach)]]*Anreise_Besuchende[[#This Row],[Scope 3 EF Nicht-CO2-Effekte '[kg CO2e/Einheit']]]*2,"")</f>
        <v/>
      </c>
    </row>
    <row r="35" spans="2:23" s="89" customFormat="1" x14ac:dyDescent="0.35">
      <c r="B35" s="616"/>
      <c r="C35" t="str">
        <f t="shared" si="0"/>
        <v>Anreise_Besuchende</v>
      </c>
      <c r="D35" s="90"/>
      <c r="E35" s="90"/>
      <c r="F35" s="288"/>
      <c r="G35" s="287"/>
      <c r="H35" s="287"/>
      <c r="I35" s="90"/>
      <c r="J35" s="90"/>
      <c r="K35" s="90"/>
      <c r="L35" s="289" t="str">
        <f>IF(ISBLANK(Anreise_Besuchende[[#This Row],[Besuchendenanzahl]]),"", SUM(Anreise_Besuchende[[#This Row],[Scope 1 CO2e '[kg CO2e']]:[Scope 3 CO2e '[kg CO2e']]]))</f>
        <v/>
      </c>
      <c r="M35" s="289" t="str">
        <f>IF(OR(ISBLANK(Anreise_Besuchende[[#This Row],[Besuchendenanzahl]]),Anreise_Besuchende[[#This Row],[Scope 3 Ergebnis Nicht-CO2 '[kg CO2e']]]=0),"",Anreise_Besuchende[[#This Row],[Scope 3 Ergebnis Nicht-CO2 '[kg CO2e']]])</f>
        <v/>
      </c>
      <c r="N35" s="15" t="str">
        <f>IF(ISBLANK(Anreise_Besuchende[[#This Row],[Verkehrsmittel (Dropdown)]]),"",CONCATENATE(Anreise_Besuchende[[#This Row],[Sektor_Thema]]," - ",Anreise_Besuchende[[#This Row],[Verkehrsmittel (Dropdown)]]))</f>
        <v/>
      </c>
      <c r="O35" s="15" t="str">
        <f>IF(ISBLANK(Anreise_Besuchende[[#This Row],[Verkehrsmittel (Dropdown)]]),"",AND(ISNUMBER(SEARCH("PKW",Anreise_Besuchende[[#This Row],[Verkehrsmittel (Dropdown)]])),ISNUMBER(Anreise_Besuchende[[#This Row],[PKW-Auslastung:
Personenzahl/ PKW
(optionale Angabe)]])))</f>
        <v/>
      </c>
      <c r="P35" s="15" t="str">
        <f>IFERROR(VLOOKUP(Anreise_Besuchende[[#This Row],[Thema_Bezeichung]],EFs_Besuchende[],5,FALSE),"")</f>
        <v/>
      </c>
      <c r="Q35" s="15" t="str">
        <f>IFERROR(VLOOKUP(Anreise_Besuchende[[#This Row],[Thema_Bezeichung]],EFs_Besuchende[],6,FALSE),"")</f>
        <v/>
      </c>
      <c r="R35" s="15" t="str">
        <f>IF(Anreise_Besuchende[[#This Row],[PKW - Auslastung angegeben?]]=TRUE,IFERROR((VLOOKUP(Anreise_Besuchende[[#This Row],[Thema_Bezeichung]],EFs_Besuchende[],7,FALSE)*VLOOKUP(Anreise_Besuchende[[#This Row],[Thema_Bezeichung]],EFs_Besuchende[],9,FALSE)/Anreise_Besuchende[[#This Row],[PKW-Auslastung:
Personenzahl/ PKW
(optionale Angabe)]]),""),IF(Anreise_Besuchende[[#This Row],[PKW - Auslastung angegeben?]]=FALSE,IFERROR(VLOOKUP(Anreise_Besuchende[[#This Row],[Thema_Bezeichung]],EFs_Besuchende[],7,FALSE),""),""))</f>
        <v/>
      </c>
      <c r="S35" s="15" t="str">
        <f>IFERROR(VLOOKUP(Anreise_Besuchende[[#This Row],[Thema_Bezeichung]],EFs_Besuchende[],8,FALSE),"")</f>
        <v/>
      </c>
      <c r="T35" s="15" t="str">
        <f>IFERROR(Anreise_Besuchende[[#This Row],[Besuchendenanzahl]]*Anreise_Besuchende[[#This Row],[Durchschnittliche Distanz 
(km einfach)]]*Anreise_Besuchende[[#This Row],[EF Scope 1 CO2e
(kg CO2e/Einheit)]]*2,"")</f>
        <v/>
      </c>
      <c r="U35" s="15" t="str">
        <f>IFERROR(Anreise_Besuchende[[#This Row],[Besuchendenanzahl]]*Anreise_Besuchende[[#This Row],[Durchschnittliche Distanz 
(km einfach)]]*Anreise_Besuchende[[#This Row],[EF Scope 2 CO2e
(kg CO2e/Einheit)]]*2,"")</f>
        <v/>
      </c>
      <c r="V35" s="15" t="str">
        <f>IFERROR(Anreise_Besuchende[[#This Row],[Besuchendenanzahl]]*Anreise_Besuchende[[#This Row],[Durchschnittliche Distanz 
(km einfach)]]*Anreise_Besuchende[[#This Row],[EF Scope 3 CO2e
(kg CO2e/Einheit)]]*2,"")</f>
        <v/>
      </c>
      <c r="W35" s="15" t="str">
        <f>IFERROR(Anreise_Besuchende[[#This Row],[Besuchendenanzahl]]*Anreise_Besuchende[[#This Row],[Durchschnittliche Distanz 
(km einfach)]]*Anreise_Besuchende[[#This Row],[Scope 3 EF Nicht-CO2-Effekte '[kg CO2e/Einheit']]]*2,"")</f>
        <v/>
      </c>
    </row>
    <row r="36" spans="2:23" s="89" customFormat="1" x14ac:dyDescent="0.35">
      <c r="B36" s="616"/>
      <c r="C36" t="str">
        <f t="shared" si="0"/>
        <v>Anreise_Besuchende</v>
      </c>
      <c r="D36" s="90"/>
      <c r="E36" s="90"/>
      <c r="F36" s="288"/>
      <c r="G36" s="287"/>
      <c r="H36" s="287"/>
      <c r="I36" s="90"/>
      <c r="J36" s="90"/>
      <c r="K36" s="90"/>
      <c r="L36" s="289" t="str">
        <f>IF(ISBLANK(Anreise_Besuchende[[#This Row],[Besuchendenanzahl]]),"", SUM(Anreise_Besuchende[[#This Row],[Scope 1 CO2e '[kg CO2e']]:[Scope 3 CO2e '[kg CO2e']]]))</f>
        <v/>
      </c>
      <c r="M36" s="289" t="str">
        <f>IF(OR(ISBLANK(Anreise_Besuchende[[#This Row],[Besuchendenanzahl]]),Anreise_Besuchende[[#This Row],[Scope 3 Ergebnis Nicht-CO2 '[kg CO2e']]]=0),"",Anreise_Besuchende[[#This Row],[Scope 3 Ergebnis Nicht-CO2 '[kg CO2e']]])</f>
        <v/>
      </c>
      <c r="N36" s="15" t="str">
        <f>IF(ISBLANK(Anreise_Besuchende[[#This Row],[Verkehrsmittel (Dropdown)]]),"",CONCATENATE(Anreise_Besuchende[[#This Row],[Sektor_Thema]]," - ",Anreise_Besuchende[[#This Row],[Verkehrsmittel (Dropdown)]]))</f>
        <v/>
      </c>
      <c r="O36" s="15" t="str">
        <f>IF(ISBLANK(Anreise_Besuchende[[#This Row],[Verkehrsmittel (Dropdown)]]),"",AND(ISNUMBER(SEARCH("PKW",Anreise_Besuchende[[#This Row],[Verkehrsmittel (Dropdown)]])),ISNUMBER(Anreise_Besuchende[[#This Row],[PKW-Auslastung:
Personenzahl/ PKW
(optionale Angabe)]])))</f>
        <v/>
      </c>
      <c r="P36" s="15" t="str">
        <f>IFERROR(VLOOKUP(Anreise_Besuchende[[#This Row],[Thema_Bezeichung]],EFs_Besuchende[],5,FALSE),"")</f>
        <v/>
      </c>
      <c r="Q36" s="15" t="str">
        <f>IFERROR(VLOOKUP(Anreise_Besuchende[[#This Row],[Thema_Bezeichung]],EFs_Besuchende[],6,FALSE),"")</f>
        <v/>
      </c>
      <c r="R36" s="15" t="str">
        <f>IF(Anreise_Besuchende[[#This Row],[PKW - Auslastung angegeben?]]=TRUE,IFERROR((VLOOKUP(Anreise_Besuchende[[#This Row],[Thema_Bezeichung]],EFs_Besuchende[],7,FALSE)*VLOOKUP(Anreise_Besuchende[[#This Row],[Thema_Bezeichung]],EFs_Besuchende[],9,FALSE)/Anreise_Besuchende[[#This Row],[PKW-Auslastung:
Personenzahl/ PKW
(optionale Angabe)]]),""),IF(Anreise_Besuchende[[#This Row],[PKW - Auslastung angegeben?]]=FALSE,IFERROR(VLOOKUP(Anreise_Besuchende[[#This Row],[Thema_Bezeichung]],EFs_Besuchende[],7,FALSE),""),""))</f>
        <v/>
      </c>
      <c r="S36" s="15" t="str">
        <f>IFERROR(VLOOKUP(Anreise_Besuchende[[#This Row],[Thema_Bezeichung]],EFs_Besuchende[],8,FALSE),"")</f>
        <v/>
      </c>
      <c r="T36" s="15" t="str">
        <f>IFERROR(Anreise_Besuchende[[#This Row],[Besuchendenanzahl]]*Anreise_Besuchende[[#This Row],[Durchschnittliche Distanz 
(km einfach)]]*Anreise_Besuchende[[#This Row],[EF Scope 1 CO2e
(kg CO2e/Einheit)]]*2,"")</f>
        <v/>
      </c>
      <c r="U36" s="15" t="str">
        <f>IFERROR(Anreise_Besuchende[[#This Row],[Besuchendenanzahl]]*Anreise_Besuchende[[#This Row],[Durchschnittliche Distanz 
(km einfach)]]*Anreise_Besuchende[[#This Row],[EF Scope 2 CO2e
(kg CO2e/Einheit)]]*2,"")</f>
        <v/>
      </c>
      <c r="V36" s="15" t="str">
        <f>IFERROR(Anreise_Besuchende[[#This Row],[Besuchendenanzahl]]*Anreise_Besuchende[[#This Row],[Durchschnittliche Distanz 
(km einfach)]]*Anreise_Besuchende[[#This Row],[EF Scope 3 CO2e
(kg CO2e/Einheit)]]*2,"")</f>
        <v/>
      </c>
      <c r="W36" s="15" t="str">
        <f>IFERROR(Anreise_Besuchende[[#This Row],[Besuchendenanzahl]]*Anreise_Besuchende[[#This Row],[Durchschnittliche Distanz 
(km einfach)]]*Anreise_Besuchende[[#This Row],[Scope 3 EF Nicht-CO2-Effekte '[kg CO2e/Einheit']]]*2,"")</f>
        <v/>
      </c>
    </row>
    <row r="37" spans="2:23" s="89" customFormat="1" x14ac:dyDescent="0.35">
      <c r="B37" s="616"/>
      <c r="C37" t="str">
        <f t="shared" si="0"/>
        <v>Anreise_Besuchende</v>
      </c>
      <c r="D37" s="90"/>
      <c r="E37" s="90"/>
      <c r="F37" s="288"/>
      <c r="G37" s="287"/>
      <c r="H37" s="287"/>
      <c r="I37" s="90"/>
      <c r="J37" s="90"/>
      <c r="K37" s="90"/>
      <c r="L37" s="289" t="str">
        <f>IF(ISBLANK(Anreise_Besuchende[[#This Row],[Besuchendenanzahl]]),"", SUM(Anreise_Besuchende[[#This Row],[Scope 1 CO2e '[kg CO2e']]:[Scope 3 CO2e '[kg CO2e']]]))</f>
        <v/>
      </c>
      <c r="M37" s="289" t="str">
        <f>IF(OR(ISBLANK(Anreise_Besuchende[[#This Row],[Besuchendenanzahl]]),Anreise_Besuchende[[#This Row],[Scope 3 Ergebnis Nicht-CO2 '[kg CO2e']]]=0),"",Anreise_Besuchende[[#This Row],[Scope 3 Ergebnis Nicht-CO2 '[kg CO2e']]])</f>
        <v/>
      </c>
      <c r="N37" s="15" t="str">
        <f>IF(ISBLANK(Anreise_Besuchende[[#This Row],[Verkehrsmittel (Dropdown)]]),"",CONCATENATE(Anreise_Besuchende[[#This Row],[Sektor_Thema]]," - ",Anreise_Besuchende[[#This Row],[Verkehrsmittel (Dropdown)]]))</f>
        <v/>
      </c>
      <c r="O37" s="15" t="str">
        <f>IF(ISBLANK(Anreise_Besuchende[[#This Row],[Verkehrsmittel (Dropdown)]]),"",AND(ISNUMBER(SEARCH("PKW",Anreise_Besuchende[[#This Row],[Verkehrsmittel (Dropdown)]])),ISNUMBER(Anreise_Besuchende[[#This Row],[PKW-Auslastung:
Personenzahl/ PKW
(optionale Angabe)]])))</f>
        <v/>
      </c>
      <c r="P37" s="15" t="str">
        <f>IFERROR(VLOOKUP(Anreise_Besuchende[[#This Row],[Thema_Bezeichung]],EFs_Besuchende[],5,FALSE),"")</f>
        <v/>
      </c>
      <c r="Q37" s="15" t="str">
        <f>IFERROR(VLOOKUP(Anreise_Besuchende[[#This Row],[Thema_Bezeichung]],EFs_Besuchende[],6,FALSE),"")</f>
        <v/>
      </c>
      <c r="R37" s="15" t="str">
        <f>IF(Anreise_Besuchende[[#This Row],[PKW - Auslastung angegeben?]]=TRUE,IFERROR((VLOOKUP(Anreise_Besuchende[[#This Row],[Thema_Bezeichung]],EFs_Besuchende[],7,FALSE)*VLOOKUP(Anreise_Besuchende[[#This Row],[Thema_Bezeichung]],EFs_Besuchende[],9,FALSE)/Anreise_Besuchende[[#This Row],[PKW-Auslastung:
Personenzahl/ PKW
(optionale Angabe)]]),""),IF(Anreise_Besuchende[[#This Row],[PKW - Auslastung angegeben?]]=FALSE,IFERROR(VLOOKUP(Anreise_Besuchende[[#This Row],[Thema_Bezeichung]],EFs_Besuchende[],7,FALSE),""),""))</f>
        <v/>
      </c>
      <c r="S37" s="15" t="str">
        <f>IFERROR(VLOOKUP(Anreise_Besuchende[[#This Row],[Thema_Bezeichung]],EFs_Besuchende[],8,FALSE),"")</f>
        <v/>
      </c>
      <c r="T37" s="15" t="str">
        <f>IFERROR(Anreise_Besuchende[[#This Row],[Besuchendenanzahl]]*Anreise_Besuchende[[#This Row],[Durchschnittliche Distanz 
(km einfach)]]*Anreise_Besuchende[[#This Row],[EF Scope 1 CO2e
(kg CO2e/Einheit)]]*2,"")</f>
        <v/>
      </c>
      <c r="U37" s="15" t="str">
        <f>IFERROR(Anreise_Besuchende[[#This Row],[Besuchendenanzahl]]*Anreise_Besuchende[[#This Row],[Durchschnittliche Distanz 
(km einfach)]]*Anreise_Besuchende[[#This Row],[EF Scope 2 CO2e
(kg CO2e/Einheit)]]*2,"")</f>
        <v/>
      </c>
      <c r="V37" s="15" t="str">
        <f>IFERROR(Anreise_Besuchende[[#This Row],[Besuchendenanzahl]]*Anreise_Besuchende[[#This Row],[Durchschnittliche Distanz 
(km einfach)]]*Anreise_Besuchende[[#This Row],[EF Scope 3 CO2e
(kg CO2e/Einheit)]]*2,"")</f>
        <v/>
      </c>
      <c r="W37" s="15" t="str">
        <f>IFERROR(Anreise_Besuchende[[#This Row],[Besuchendenanzahl]]*Anreise_Besuchende[[#This Row],[Durchschnittliche Distanz 
(km einfach)]]*Anreise_Besuchende[[#This Row],[Scope 3 EF Nicht-CO2-Effekte '[kg CO2e/Einheit']]]*2,"")</f>
        <v/>
      </c>
    </row>
    <row r="38" spans="2:23" s="89" customFormat="1" x14ac:dyDescent="0.35">
      <c r="B38" s="616"/>
      <c r="C38" t="str">
        <f t="shared" si="0"/>
        <v>Anreise_Besuchende</v>
      </c>
      <c r="D38" s="90"/>
      <c r="E38" s="90"/>
      <c r="F38" s="288"/>
      <c r="G38" s="287"/>
      <c r="H38" s="287"/>
      <c r="I38" s="90"/>
      <c r="J38" s="90"/>
      <c r="K38" s="90"/>
      <c r="L38" s="289" t="str">
        <f>IF(ISBLANK(Anreise_Besuchende[[#This Row],[Besuchendenanzahl]]),"", SUM(Anreise_Besuchende[[#This Row],[Scope 1 CO2e '[kg CO2e']]:[Scope 3 CO2e '[kg CO2e']]]))</f>
        <v/>
      </c>
      <c r="M38" s="289" t="str">
        <f>IF(OR(ISBLANK(Anreise_Besuchende[[#This Row],[Besuchendenanzahl]]),Anreise_Besuchende[[#This Row],[Scope 3 Ergebnis Nicht-CO2 '[kg CO2e']]]=0),"",Anreise_Besuchende[[#This Row],[Scope 3 Ergebnis Nicht-CO2 '[kg CO2e']]])</f>
        <v/>
      </c>
      <c r="N38" s="15" t="str">
        <f>IF(ISBLANK(Anreise_Besuchende[[#This Row],[Verkehrsmittel (Dropdown)]]),"",CONCATENATE(Anreise_Besuchende[[#This Row],[Sektor_Thema]]," - ",Anreise_Besuchende[[#This Row],[Verkehrsmittel (Dropdown)]]))</f>
        <v/>
      </c>
      <c r="O38" s="15" t="str">
        <f>IF(ISBLANK(Anreise_Besuchende[[#This Row],[Verkehrsmittel (Dropdown)]]),"",AND(ISNUMBER(SEARCH("PKW",Anreise_Besuchende[[#This Row],[Verkehrsmittel (Dropdown)]])),ISNUMBER(Anreise_Besuchende[[#This Row],[PKW-Auslastung:
Personenzahl/ PKW
(optionale Angabe)]])))</f>
        <v/>
      </c>
      <c r="P38" s="15" t="str">
        <f>IFERROR(VLOOKUP(Anreise_Besuchende[[#This Row],[Thema_Bezeichung]],EFs_Besuchende[],5,FALSE),"")</f>
        <v/>
      </c>
      <c r="Q38" s="15" t="str">
        <f>IFERROR(VLOOKUP(Anreise_Besuchende[[#This Row],[Thema_Bezeichung]],EFs_Besuchende[],6,FALSE),"")</f>
        <v/>
      </c>
      <c r="R38" s="15" t="str">
        <f>IF(Anreise_Besuchende[[#This Row],[PKW - Auslastung angegeben?]]=TRUE,IFERROR((VLOOKUP(Anreise_Besuchende[[#This Row],[Thema_Bezeichung]],EFs_Besuchende[],7,FALSE)*VLOOKUP(Anreise_Besuchende[[#This Row],[Thema_Bezeichung]],EFs_Besuchende[],9,FALSE)/Anreise_Besuchende[[#This Row],[PKW-Auslastung:
Personenzahl/ PKW
(optionale Angabe)]]),""),IF(Anreise_Besuchende[[#This Row],[PKW - Auslastung angegeben?]]=FALSE,IFERROR(VLOOKUP(Anreise_Besuchende[[#This Row],[Thema_Bezeichung]],EFs_Besuchende[],7,FALSE),""),""))</f>
        <v/>
      </c>
      <c r="S38" s="15" t="str">
        <f>IFERROR(VLOOKUP(Anreise_Besuchende[[#This Row],[Thema_Bezeichung]],EFs_Besuchende[],8,FALSE),"")</f>
        <v/>
      </c>
      <c r="T38" s="15" t="str">
        <f>IFERROR(Anreise_Besuchende[[#This Row],[Besuchendenanzahl]]*Anreise_Besuchende[[#This Row],[Durchschnittliche Distanz 
(km einfach)]]*Anreise_Besuchende[[#This Row],[EF Scope 1 CO2e
(kg CO2e/Einheit)]]*2,"")</f>
        <v/>
      </c>
      <c r="U38" s="15" t="str">
        <f>IFERROR(Anreise_Besuchende[[#This Row],[Besuchendenanzahl]]*Anreise_Besuchende[[#This Row],[Durchschnittliche Distanz 
(km einfach)]]*Anreise_Besuchende[[#This Row],[EF Scope 2 CO2e
(kg CO2e/Einheit)]]*2,"")</f>
        <v/>
      </c>
      <c r="V38" s="15" t="str">
        <f>IFERROR(Anreise_Besuchende[[#This Row],[Besuchendenanzahl]]*Anreise_Besuchende[[#This Row],[Durchschnittliche Distanz 
(km einfach)]]*Anreise_Besuchende[[#This Row],[EF Scope 3 CO2e
(kg CO2e/Einheit)]]*2,"")</f>
        <v/>
      </c>
      <c r="W38" s="15" t="str">
        <f>IFERROR(Anreise_Besuchende[[#This Row],[Besuchendenanzahl]]*Anreise_Besuchende[[#This Row],[Durchschnittliche Distanz 
(km einfach)]]*Anreise_Besuchende[[#This Row],[Scope 3 EF Nicht-CO2-Effekte '[kg CO2e/Einheit']]]*2,"")</f>
        <v/>
      </c>
    </row>
    <row r="39" spans="2:23" s="89" customFormat="1" x14ac:dyDescent="0.35">
      <c r="B39" s="616"/>
      <c r="C39" t="str">
        <f t="shared" si="0"/>
        <v>Anreise_Besuchende</v>
      </c>
      <c r="D39" s="90"/>
      <c r="E39" s="90"/>
      <c r="F39" s="288"/>
      <c r="G39" s="287"/>
      <c r="H39" s="287"/>
      <c r="I39" s="90"/>
      <c r="J39" s="90"/>
      <c r="K39" s="90"/>
      <c r="L39" s="289" t="str">
        <f>IF(ISBLANK(Anreise_Besuchende[[#This Row],[Besuchendenanzahl]]),"", SUM(Anreise_Besuchende[[#This Row],[Scope 1 CO2e '[kg CO2e']]:[Scope 3 CO2e '[kg CO2e']]]))</f>
        <v/>
      </c>
      <c r="M39" s="289" t="str">
        <f>IF(OR(ISBLANK(Anreise_Besuchende[[#This Row],[Besuchendenanzahl]]),Anreise_Besuchende[[#This Row],[Scope 3 Ergebnis Nicht-CO2 '[kg CO2e']]]=0),"",Anreise_Besuchende[[#This Row],[Scope 3 Ergebnis Nicht-CO2 '[kg CO2e']]])</f>
        <v/>
      </c>
      <c r="N39" s="15" t="str">
        <f>IF(ISBLANK(Anreise_Besuchende[[#This Row],[Verkehrsmittel (Dropdown)]]),"",CONCATENATE(Anreise_Besuchende[[#This Row],[Sektor_Thema]]," - ",Anreise_Besuchende[[#This Row],[Verkehrsmittel (Dropdown)]]))</f>
        <v/>
      </c>
      <c r="O39" s="15" t="str">
        <f>IF(ISBLANK(Anreise_Besuchende[[#This Row],[Verkehrsmittel (Dropdown)]]),"",AND(ISNUMBER(SEARCH("PKW",Anreise_Besuchende[[#This Row],[Verkehrsmittel (Dropdown)]])),ISNUMBER(Anreise_Besuchende[[#This Row],[PKW-Auslastung:
Personenzahl/ PKW
(optionale Angabe)]])))</f>
        <v/>
      </c>
      <c r="P39" s="15" t="str">
        <f>IFERROR(VLOOKUP(Anreise_Besuchende[[#This Row],[Thema_Bezeichung]],EFs_Besuchende[],5,FALSE),"")</f>
        <v/>
      </c>
      <c r="Q39" s="15" t="str">
        <f>IFERROR(VLOOKUP(Anreise_Besuchende[[#This Row],[Thema_Bezeichung]],EFs_Besuchende[],6,FALSE),"")</f>
        <v/>
      </c>
      <c r="R39" s="15" t="str">
        <f>IF(Anreise_Besuchende[[#This Row],[PKW - Auslastung angegeben?]]=TRUE,IFERROR((VLOOKUP(Anreise_Besuchende[[#This Row],[Thema_Bezeichung]],EFs_Besuchende[],7,FALSE)*VLOOKUP(Anreise_Besuchende[[#This Row],[Thema_Bezeichung]],EFs_Besuchende[],9,FALSE)/Anreise_Besuchende[[#This Row],[PKW-Auslastung:
Personenzahl/ PKW
(optionale Angabe)]]),""),IF(Anreise_Besuchende[[#This Row],[PKW - Auslastung angegeben?]]=FALSE,IFERROR(VLOOKUP(Anreise_Besuchende[[#This Row],[Thema_Bezeichung]],EFs_Besuchende[],7,FALSE),""),""))</f>
        <v/>
      </c>
      <c r="S39" s="15" t="str">
        <f>IFERROR(VLOOKUP(Anreise_Besuchende[[#This Row],[Thema_Bezeichung]],EFs_Besuchende[],8,FALSE),"")</f>
        <v/>
      </c>
      <c r="T39" s="15" t="str">
        <f>IFERROR(Anreise_Besuchende[[#This Row],[Besuchendenanzahl]]*Anreise_Besuchende[[#This Row],[Durchschnittliche Distanz 
(km einfach)]]*Anreise_Besuchende[[#This Row],[EF Scope 1 CO2e
(kg CO2e/Einheit)]]*2,"")</f>
        <v/>
      </c>
      <c r="U39" s="15" t="str">
        <f>IFERROR(Anreise_Besuchende[[#This Row],[Besuchendenanzahl]]*Anreise_Besuchende[[#This Row],[Durchschnittliche Distanz 
(km einfach)]]*Anreise_Besuchende[[#This Row],[EF Scope 2 CO2e
(kg CO2e/Einheit)]]*2,"")</f>
        <v/>
      </c>
      <c r="V39" s="15" t="str">
        <f>IFERROR(Anreise_Besuchende[[#This Row],[Besuchendenanzahl]]*Anreise_Besuchende[[#This Row],[Durchschnittliche Distanz 
(km einfach)]]*Anreise_Besuchende[[#This Row],[EF Scope 3 CO2e
(kg CO2e/Einheit)]]*2,"")</f>
        <v/>
      </c>
      <c r="W39" s="15" t="str">
        <f>IFERROR(Anreise_Besuchende[[#This Row],[Besuchendenanzahl]]*Anreise_Besuchende[[#This Row],[Durchschnittliche Distanz 
(km einfach)]]*Anreise_Besuchende[[#This Row],[Scope 3 EF Nicht-CO2-Effekte '[kg CO2e/Einheit']]]*2,"")</f>
        <v/>
      </c>
    </row>
    <row r="40" spans="2:23" s="89" customFormat="1" x14ac:dyDescent="0.35">
      <c r="B40" s="616"/>
      <c r="C40" s="89" t="str">
        <f t="shared" si="0"/>
        <v>Anreise_Besuchende</v>
      </c>
      <c r="D40" s="90"/>
      <c r="E40" s="90"/>
      <c r="F40" s="288"/>
      <c r="G40" s="287"/>
      <c r="H40" s="287"/>
      <c r="I40" s="90"/>
      <c r="J40" s="90"/>
      <c r="K40" s="90"/>
      <c r="L40" s="290" t="str">
        <f>IF(ISBLANK(Anreise_Besuchende[[#This Row],[Besuchendenanzahl]]),"", SUM(Anreise_Besuchende[[#This Row],[Scope 1 CO2e '[kg CO2e']]:[Scope 3 CO2e '[kg CO2e']]]))</f>
        <v/>
      </c>
      <c r="M40" s="290" t="str">
        <f>IF(OR(ISBLANK(Anreise_Besuchende[[#This Row],[Besuchendenanzahl]]),Anreise_Besuchende[[#This Row],[Scope 3 Ergebnis Nicht-CO2 '[kg CO2e']]]=0),"",Anreise_Besuchende[[#This Row],[Scope 3 Ergebnis Nicht-CO2 '[kg CO2e']]])</f>
        <v/>
      </c>
      <c r="N40" s="94" t="str">
        <f>IF(ISBLANK(Anreise_Besuchende[[#This Row],[Verkehrsmittel (Dropdown)]]),"",CONCATENATE(Anreise_Besuchende[[#This Row],[Sektor_Thema]]," - ",Anreise_Besuchende[[#This Row],[Verkehrsmittel (Dropdown)]]))</f>
        <v/>
      </c>
      <c r="O40" s="94" t="str">
        <f>IF(ISBLANK(Anreise_Besuchende[[#This Row],[Verkehrsmittel (Dropdown)]]),"",AND(ISNUMBER(SEARCH("PKW",Anreise_Besuchende[[#This Row],[Verkehrsmittel (Dropdown)]])),ISNUMBER(Anreise_Besuchende[[#This Row],[PKW-Auslastung:
Personenzahl/ PKW
(optionale Angabe)]])))</f>
        <v/>
      </c>
      <c r="P40" s="94" t="str">
        <f>IFERROR(VLOOKUP(Anreise_Besuchende[[#This Row],[Thema_Bezeichung]],EFs_Besuchende[],5,FALSE),"")</f>
        <v/>
      </c>
      <c r="Q40" s="94" t="str">
        <f>IFERROR(VLOOKUP(Anreise_Besuchende[[#This Row],[Thema_Bezeichung]],EFs_Besuchende[],6,FALSE),"")</f>
        <v/>
      </c>
      <c r="R40" s="94" t="str">
        <f>IF(Anreise_Besuchende[[#This Row],[PKW - Auslastung angegeben?]]=TRUE,IFERROR((VLOOKUP(Anreise_Besuchende[[#This Row],[Thema_Bezeichung]],EFs_Besuchende[],7,FALSE)*VLOOKUP(Anreise_Besuchende[[#This Row],[Thema_Bezeichung]],EFs_Besuchende[],9,FALSE)/Anreise_Besuchende[[#This Row],[PKW-Auslastung:
Personenzahl/ PKW
(optionale Angabe)]]),""),IF(Anreise_Besuchende[[#This Row],[PKW - Auslastung angegeben?]]=FALSE,IFERROR(VLOOKUP(Anreise_Besuchende[[#This Row],[Thema_Bezeichung]],EFs_Besuchende[],7,FALSE),""),""))</f>
        <v/>
      </c>
      <c r="S40" s="94" t="str">
        <f>IFERROR(VLOOKUP(Anreise_Besuchende[[#This Row],[Thema_Bezeichung]],EFs_Besuchende[],8,FALSE),"")</f>
        <v/>
      </c>
      <c r="T40" s="94" t="str">
        <f>IFERROR(Anreise_Besuchende[[#This Row],[Besuchendenanzahl]]*Anreise_Besuchende[[#This Row],[Durchschnittliche Distanz 
(km einfach)]]*Anreise_Besuchende[[#This Row],[EF Scope 1 CO2e
(kg CO2e/Einheit)]]*2,"")</f>
        <v/>
      </c>
      <c r="U40" s="94" t="str">
        <f>IFERROR(Anreise_Besuchende[[#This Row],[Besuchendenanzahl]]*Anreise_Besuchende[[#This Row],[Durchschnittliche Distanz 
(km einfach)]]*Anreise_Besuchende[[#This Row],[EF Scope 2 CO2e
(kg CO2e/Einheit)]]*2,"")</f>
        <v/>
      </c>
      <c r="V40" s="94" t="str">
        <f>IFERROR(Anreise_Besuchende[[#This Row],[Besuchendenanzahl]]*Anreise_Besuchende[[#This Row],[Durchschnittliche Distanz 
(km einfach)]]*Anreise_Besuchende[[#This Row],[EF Scope 3 CO2e
(kg CO2e/Einheit)]]*2,"")</f>
        <v/>
      </c>
      <c r="W40" s="94" t="str">
        <f>IFERROR(Anreise_Besuchende[[#This Row],[Besuchendenanzahl]]*Anreise_Besuchende[[#This Row],[Durchschnittliche Distanz 
(km einfach)]]*Anreise_Besuchende[[#This Row],[Scope 3 EF Nicht-CO2-Effekte '[kg CO2e/Einheit']]]*2,"")</f>
        <v/>
      </c>
    </row>
    <row r="41" spans="2:23" s="89" customFormat="1" ht="15" thickBot="1" x14ac:dyDescent="0.4">
      <c r="B41" s="617"/>
      <c r="C41" s="89" t="str">
        <f t="shared" si="0"/>
        <v>Anreise_Besuchende</v>
      </c>
      <c r="D41" s="90"/>
      <c r="E41" s="90"/>
      <c r="F41" s="288"/>
      <c r="G41" s="287"/>
      <c r="H41" s="287"/>
      <c r="I41" s="90"/>
      <c r="J41" s="90"/>
      <c r="K41" s="90"/>
      <c r="L41" s="290" t="str">
        <f>IF(ISBLANK(Anreise_Besuchende[[#This Row],[Besuchendenanzahl]]),"", SUM(Anreise_Besuchende[[#This Row],[Scope 1 CO2e '[kg CO2e']]:[Scope 3 CO2e '[kg CO2e']]]))</f>
        <v/>
      </c>
      <c r="M41" s="290" t="str">
        <f>IF(OR(ISBLANK(Anreise_Besuchende[[#This Row],[Besuchendenanzahl]]),Anreise_Besuchende[[#This Row],[Scope 3 Ergebnis Nicht-CO2 '[kg CO2e']]]=0),"",Anreise_Besuchende[[#This Row],[Scope 3 Ergebnis Nicht-CO2 '[kg CO2e']]])</f>
        <v/>
      </c>
      <c r="N41" s="94" t="str">
        <f>IF(ISBLANK(Anreise_Besuchende[[#This Row],[Verkehrsmittel (Dropdown)]]),"",CONCATENATE(Anreise_Besuchende[[#This Row],[Sektor_Thema]]," - ",Anreise_Besuchende[[#This Row],[Verkehrsmittel (Dropdown)]]))</f>
        <v/>
      </c>
      <c r="O41" s="94" t="str">
        <f>IF(ISBLANK(Anreise_Besuchende[[#This Row],[Verkehrsmittel (Dropdown)]]),"",AND(ISNUMBER(SEARCH("PKW",Anreise_Besuchende[[#This Row],[Verkehrsmittel (Dropdown)]])),ISNUMBER(Anreise_Besuchende[[#This Row],[PKW-Auslastung:
Personenzahl/ PKW
(optionale Angabe)]])))</f>
        <v/>
      </c>
      <c r="P41" s="94" t="str">
        <f>IFERROR(VLOOKUP(Anreise_Besuchende[[#This Row],[Thema_Bezeichung]],EFs_Besuchende[],5,FALSE),"")</f>
        <v/>
      </c>
      <c r="Q41" s="94" t="str">
        <f>IFERROR(VLOOKUP(Anreise_Besuchende[[#This Row],[Thema_Bezeichung]],EFs_Besuchende[],6,FALSE),"")</f>
        <v/>
      </c>
      <c r="R41" s="94" t="str">
        <f>IF(Anreise_Besuchende[[#This Row],[PKW - Auslastung angegeben?]]=TRUE,IFERROR((VLOOKUP(Anreise_Besuchende[[#This Row],[Thema_Bezeichung]],EFs_Besuchende[],7,FALSE)*VLOOKUP(Anreise_Besuchende[[#This Row],[Thema_Bezeichung]],EFs_Besuchende[],9,FALSE)/Anreise_Besuchende[[#This Row],[PKW-Auslastung:
Personenzahl/ PKW
(optionale Angabe)]]),""),IF(Anreise_Besuchende[[#This Row],[PKW - Auslastung angegeben?]]=FALSE,IFERROR(VLOOKUP(Anreise_Besuchende[[#This Row],[Thema_Bezeichung]],EFs_Besuchende[],7,FALSE),""),""))</f>
        <v/>
      </c>
      <c r="S41" s="94" t="str">
        <f>IFERROR(VLOOKUP(Anreise_Besuchende[[#This Row],[Thema_Bezeichung]],EFs_Besuchende[],8,FALSE),"")</f>
        <v/>
      </c>
      <c r="T41" s="94" t="str">
        <f>IFERROR(Anreise_Besuchende[[#This Row],[Besuchendenanzahl]]*Anreise_Besuchende[[#This Row],[Durchschnittliche Distanz 
(km einfach)]]*Anreise_Besuchende[[#This Row],[EF Scope 1 CO2e
(kg CO2e/Einheit)]]*2,"")</f>
        <v/>
      </c>
      <c r="U41" s="94" t="str">
        <f>IFERROR(Anreise_Besuchende[[#This Row],[Besuchendenanzahl]]*Anreise_Besuchende[[#This Row],[Durchschnittliche Distanz 
(km einfach)]]*Anreise_Besuchende[[#This Row],[EF Scope 2 CO2e
(kg CO2e/Einheit)]]*2,"")</f>
        <v/>
      </c>
      <c r="V41" s="94" t="str">
        <f>IFERROR(Anreise_Besuchende[[#This Row],[Besuchendenanzahl]]*Anreise_Besuchende[[#This Row],[Durchschnittliche Distanz 
(km einfach)]]*Anreise_Besuchende[[#This Row],[EF Scope 3 CO2e
(kg CO2e/Einheit)]]*2,"")</f>
        <v/>
      </c>
      <c r="W41" s="94" t="str">
        <f>IFERROR(Anreise_Besuchende[[#This Row],[Besuchendenanzahl]]*Anreise_Besuchende[[#This Row],[Durchschnittliche Distanz 
(km einfach)]]*Anreise_Besuchende[[#This Row],[Scope 3 EF Nicht-CO2-Effekte '[kg CO2e/Einheit']]]*2,"")</f>
        <v/>
      </c>
    </row>
    <row r="42" spans="2:23" s="2" customFormat="1" ht="15" thickTop="1" x14ac:dyDescent="0.35">
      <c r="B42" s="53"/>
      <c r="D42" s="109" t="s">
        <v>204</v>
      </c>
      <c r="F42" s="292">
        <f>SUBTOTAL(109,Anreise_Besuchende[Besuchendenanzahl])</f>
        <v>0</v>
      </c>
      <c r="L42" s="286">
        <f>SUBTOTAL(109,Anreise_Besuchende[Ergebnis '[kg CO2e'] (vorausgefüllt)])</f>
        <v>0</v>
      </c>
      <c r="M42" s="712">
        <f>SUBTOTAL(109,Anreise_Besuchende[Nicht-CO2-Effekte '[kg CO2e']
(vorausgefüllt)])</f>
        <v>0</v>
      </c>
      <c r="T42" s="2">
        <f>SUBTOTAL(109,Anreise_Besuchende[Scope 1 CO2e '[kg CO2e']])</f>
        <v>0</v>
      </c>
      <c r="U42" s="2">
        <f>SUBTOTAL(109,Anreise_Besuchende[Scope 2 CO2e '[kg CO2e']])</f>
        <v>0</v>
      </c>
      <c r="V42" s="2">
        <f>SUBTOTAL(109,Anreise_Besuchende[Scope 3 CO2e '[kg CO2e']])</f>
        <v>0</v>
      </c>
      <c r="W42" s="2">
        <f>SUBTOTAL(109,Anreise_Besuchende[Scope 3 Ergebnis Nicht-CO2 '[kg CO2e']])</f>
        <v>0</v>
      </c>
    </row>
    <row r="43" spans="2:23" ht="120" customHeight="1" x14ac:dyDescent="0.35">
      <c r="B43" s="183" t="s">
        <v>79</v>
      </c>
    </row>
    <row r="44" spans="2:23" x14ac:dyDescent="0.35">
      <c r="B44" s="127" t="s">
        <v>80</v>
      </c>
      <c r="L44" s="161"/>
    </row>
    <row r="45" spans="2:23" ht="18.5" x14ac:dyDescent="0.45">
      <c r="B45" s="126" t="s">
        <v>291</v>
      </c>
      <c r="L45" s="161"/>
    </row>
    <row r="46" spans="2:23" ht="32.25" customHeight="1" x14ac:dyDescent="0.35">
      <c r="B46" s="273" t="s">
        <v>81</v>
      </c>
      <c r="C46" s="274"/>
      <c r="D46" s="601" t="s">
        <v>339</v>
      </c>
      <c r="E46" s="601"/>
      <c r="F46" s="601"/>
      <c r="G46" s="601"/>
      <c r="H46" s="601"/>
      <c r="I46" s="602"/>
      <c r="L46" s="161"/>
    </row>
    <row r="47" spans="2:23" x14ac:dyDescent="0.35">
      <c r="C47" t="s">
        <v>218</v>
      </c>
      <c r="L47" s="161"/>
    </row>
    <row r="48" spans="2:23" ht="44" thickBot="1" x14ac:dyDescent="0.4">
      <c r="B48" s="10"/>
      <c r="C48" s="23" t="s">
        <v>46</v>
      </c>
      <c r="D48" s="23" t="s">
        <v>192</v>
      </c>
      <c r="E48" s="23" t="s">
        <v>65</v>
      </c>
      <c r="F48" s="23" t="s">
        <v>66</v>
      </c>
      <c r="G48" s="97" t="s">
        <v>78</v>
      </c>
      <c r="H48" s="23" t="s">
        <v>120</v>
      </c>
      <c r="I48" s="97" t="s">
        <v>74</v>
      </c>
      <c r="J48" s="97" t="s">
        <v>75</v>
      </c>
      <c r="K48" s="156" t="s">
        <v>574</v>
      </c>
      <c r="L48" s="407" t="s">
        <v>424</v>
      </c>
      <c r="M48" s="407" t="s">
        <v>484</v>
      </c>
      <c r="N48" s="97" t="s">
        <v>217</v>
      </c>
      <c r="O48" s="432" t="s">
        <v>485</v>
      </c>
      <c r="P48" s="432" t="s">
        <v>486</v>
      </c>
      <c r="Q48" s="432" t="s">
        <v>487</v>
      </c>
      <c r="R48" s="134" t="s">
        <v>493</v>
      </c>
      <c r="S48" s="134" t="s">
        <v>527</v>
      </c>
      <c r="T48" s="134" t="s">
        <v>528</v>
      </c>
    </row>
    <row r="49" spans="2:20" s="89" customFormat="1" ht="15" thickTop="1" x14ac:dyDescent="0.35">
      <c r="B49" s="615" t="s">
        <v>291</v>
      </c>
      <c r="C49" s="10" t="str">
        <f t="shared" ref="C49:C68" si="1">$C$47</f>
        <v>Medien</v>
      </c>
      <c r="D49" s="90"/>
      <c r="E49" s="90"/>
      <c r="F49" s="288"/>
      <c r="G49" s="10" t="str">
        <f>IFERROR(VLOOKUP(Medien[[#This Row],[Thema_Bezeichung]],EFs_Medien[],4,FALSE),"")</f>
        <v/>
      </c>
      <c r="H49" s="90"/>
      <c r="I49" s="90"/>
      <c r="J49" s="90"/>
      <c r="K49" s="284" t="str">
        <f>IF(ISBLANK(Medien[[#This Row],[Wert 
(Zahl)]]),"", SUM(Medien[[#This Row],[Scope 1 CO2e '[kg CO2e']]:[Scope 3 CO2e '[kg CO2e']]]))</f>
        <v/>
      </c>
      <c r="L49" s="408"/>
      <c r="M49" s="408"/>
      <c r="N49" s="15" t="str">
        <f>IF(ISBLANK(Medien[[#This Row],[Emissionsquelle/Aktivität (Dropdown)]]),"",CONCATENATE(Medien[[#This Row],[Sektor_Thema]]," - ",Medien[[#This Row],[Emissionsquelle/Aktivität (Dropdown)]]))</f>
        <v/>
      </c>
      <c r="O49" s="15" t="str">
        <f>IFERROR(VLOOKUP(Medien[[#This Row],[Thema_Bezeichung]],EFs_Medien[],5,FALSE),"")</f>
        <v/>
      </c>
      <c r="P49" s="15" t="str">
        <f>IFERROR(VLOOKUP(Medien[[#This Row],[Thema_Bezeichung]],EFs_Medien[],6,FALSE),"")</f>
        <v/>
      </c>
      <c r="Q49" s="15" t="str">
        <f>IFERROR(VLOOKUP(Medien[[#This Row],[Thema_Bezeichung]],EFs_Medien[],7,FALSE),"")</f>
        <v/>
      </c>
      <c r="R49" s="15" t="str">
        <f>IFERROR(Medien[[#This Row],[Wert 
(Zahl)]]*Medien[[#This Row],[EF Scope 1 CO2e
(kg CO2e/Einheit)]],"")</f>
        <v/>
      </c>
      <c r="S49" s="15" t="str">
        <f>IFERROR(Medien[[#This Row],[Wert 
(Zahl)]]*Medien[[#This Row],[EF Scope 2 CO2e
(kg CO2e/Einheit)]],"")</f>
        <v/>
      </c>
      <c r="T49" s="15" t="str">
        <f>IFERROR(Medien[[#This Row],[Wert 
(Zahl)]]*Medien[[#This Row],[EF Scope 3 CO2e
(kg CO2e/Einheit)]],"")</f>
        <v/>
      </c>
    </row>
    <row r="50" spans="2:20" s="89" customFormat="1" x14ac:dyDescent="0.35">
      <c r="B50" s="616"/>
      <c r="C50" s="10" t="str">
        <f t="shared" si="1"/>
        <v>Medien</v>
      </c>
      <c r="D50" s="90"/>
      <c r="E50" s="90"/>
      <c r="F50" s="288"/>
      <c r="G50" s="10" t="str">
        <f>IFERROR(VLOOKUP(Medien[[#This Row],[Thema_Bezeichung]],EFs_Medien[],4,FALSE),"")</f>
        <v/>
      </c>
      <c r="H50" s="90"/>
      <c r="I50" s="90"/>
      <c r="J50" s="90"/>
      <c r="K50" s="284" t="str">
        <f>IF(ISBLANK(Medien[[#This Row],[Wert 
(Zahl)]]),"", SUM(Medien[[#This Row],[Scope 1 CO2e '[kg CO2e']]:[Scope 3 CO2e '[kg CO2e']]]))</f>
        <v/>
      </c>
      <c r="L50" s="408"/>
      <c r="M50" s="408"/>
      <c r="N50" s="15" t="str">
        <f>IF(ISBLANK(Medien[[#This Row],[Emissionsquelle/Aktivität (Dropdown)]]),"",CONCATENATE(Medien[[#This Row],[Sektor_Thema]]," - ",Medien[[#This Row],[Emissionsquelle/Aktivität (Dropdown)]]))</f>
        <v/>
      </c>
      <c r="O50" s="15" t="str">
        <f>IFERROR(VLOOKUP(Medien[[#This Row],[Thema_Bezeichung]],EFs_Medien[],5,FALSE),"")</f>
        <v/>
      </c>
      <c r="P50" s="15" t="str">
        <f>IFERROR(VLOOKUP(Medien[[#This Row],[Thema_Bezeichung]],EFs_Medien[],6,FALSE),"")</f>
        <v/>
      </c>
      <c r="Q50" s="15" t="str">
        <f>IFERROR(VLOOKUP(Medien[[#This Row],[Thema_Bezeichung]],EFs_Medien[],7,FALSE),"")</f>
        <v/>
      </c>
      <c r="R50" s="15" t="str">
        <f>IFERROR(Medien[[#This Row],[Wert 
(Zahl)]]*Medien[[#This Row],[EF Scope 1 CO2e
(kg CO2e/Einheit)]],"")</f>
        <v/>
      </c>
      <c r="S50" s="15" t="str">
        <f>IFERROR(Medien[[#This Row],[Wert 
(Zahl)]]*Medien[[#This Row],[EF Scope 2 CO2e
(kg CO2e/Einheit)]],"")</f>
        <v/>
      </c>
      <c r="T50" s="15" t="str">
        <f>IFERROR(Medien[[#This Row],[Wert 
(Zahl)]]*Medien[[#This Row],[EF Scope 3 CO2e
(kg CO2e/Einheit)]],"")</f>
        <v/>
      </c>
    </row>
    <row r="51" spans="2:20" s="89" customFormat="1" x14ac:dyDescent="0.35">
      <c r="B51" s="616"/>
      <c r="C51" s="10" t="str">
        <f t="shared" si="1"/>
        <v>Medien</v>
      </c>
      <c r="D51" s="90"/>
      <c r="E51" s="90"/>
      <c r="F51" s="288"/>
      <c r="G51" s="10" t="str">
        <f>IFERROR(VLOOKUP(Medien[[#This Row],[Thema_Bezeichung]],EFs_Medien[],4,FALSE),"")</f>
        <v/>
      </c>
      <c r="H51" s="90"/>
      <c r="I51" s="90"/>
      <c r="J51" s="90"/>
      <c r="K51" s="284" t="str">
        <f>IF(ISBLANK(Medien[[#This Row],[Wert 
(Zahl)]]),"", SUM(Medien[[#This Row],[Scope 1 CO2e '[kg CO2e']]:[Scope 3 CO2e '[kg CO2e']]]))</f>
        <v/>
      </c>
      <c r="L51" s="408"/>
      <c r="M51" s="408"/>
      <c r="N51" s="15" t="str">
        <f>IF(ISBLANK(Medien[[#This Row],[Emissionsquelle/Aktivität (Dropdown)]]),"",CONCATENATE(Medien[[#This Row],[Sektor_Thema]]," - ",Medien[[#This Row],[Emissionsquelle/Aktivität (Dropdown)]]))</f>
        <v/>
      </c>
      <c r="O51" s="15" t="str">
        <f>IFERROR(VLOOKUP(Medien[[#This Row],[Thema_Bezeichung]],EFs_Medien[],5,FALSE),"")</f>
        <v/>
      </c>
      <c r="P51" s="15" t="str">
        <f>IFERROR(VLOOKUP(Medien[[#This Row],[Thema_Bezeichung]],EFs_Medien[],6,FALSE),"")</f>
        <v/>
      </c>
      <c r="Q51" s="15" t="str">
        <f>IFERROR(VLOOKUP(Medien[[#This Row],[Thema_Bezeichung]],EFs_Medien[],7,FALSE),"")</f>
        <v/>
      </c>
      <c r="R51" s="15" t="str">
        <f>IFERROR(Medien[[#This Row],[Wert 
(Zahl)]]*Medien[[#This Row],[EF Scope 1 CO2e
(kg CO2e/Einheit)]],"")</f>
        <v/>
      </c>
      <c r="S51" s="15" t="str">
        <f>IFERROR(Medien[[#This Row],[Wert 
(Zahl)]]*Medien[[#This Row],[EF Scope 2 CO2e
(kg CO2e/Einheit)]],"")</f>
        <v/>
      </c>
      <c r="T51" s="15" t="str">
        <f>IFERROR(Medien[[#This Row],[Wert 
(Zahl)]]*Medien[[#This Row],[EF Scope 3 CO2e
(kg CO2e/Einheit)]],"")</f>
        <v/>
      </c>
    </row>
    <row r="52" spans="2:20" s="89" customFormat="1" x14ac:dyDescent="0.35">
      <c r="B52" s="616"/>
      <c r="C52" s="10" t="str">
        <f t="shared" si="1"/>
        <v>Medien</v>
      </c>
      <c r="D52" s="90"/>
      <c r="E52" s="90"/>
      <c r="F52" s="288"/>
      <c r="G52" s="10" t="str">
        <f>IFERROR(VLOOKUP(Medien[[#This Row],[Thema_Bezeichung]],EFs_Medien[],4,FALSE),"")</f>
        <v/>
      </c>
      <c r="H52" s="90"/>
      <c r="I52" s="90"/>
      <c r="J52" s="90"/>
      <c r="K52" s="284" t="str">
        <f>IF(ISBLANK(Medien[[#This Row],[Wert 
(Zahl)]]),"", SUM(Medien[[#This Row],[Scope 1 CO2e '[kg CO2e']]:[Scope 3 CO2e '[kg CO2e']]]))</f>
        <v/>
      </c>
      <c r="L52" s="408"/>
      <c r="M52" s="408"/>
      <c r="N52" s="15" t="str">
        <f>IF(ISBLANK(Medien[[#This Row],[Emissionsquelle/Aktivität (Dropdown)]]),"",CONCATENATE(Medien[[#This Row],[Sektor_Thema]]," - ",Medien[[#This Row],[Emissionsquelle/Aktivität (Dropdown)]]))</f>
        <v/>
      </c>
      <c r="O52" s="15" t="str">
        <f>IFERROR(VLOOKUP(Medien[[#This Row],[Thema_Bezeichung]],EFs_Medien[],5,FALSE),"")</f>
        <v/>
      </c>
      <c r="P52" s="15" t="str">
        <f>IFERROR(VLOOKUP(Medien[[#This Row],[Thema_Bezeichung]],EFs_Medien[],6,FALSE),"")</f>
        <v/>
      </c>
      <c r="Q52" s="15" t="str">
        <f>IFERROR(VLOOKUP(Medien[[#This Row],[Thema_Bezeichung]],EFs_Medien[],7,FALSE),"")</f>
        <v/>
      </c>
      <c r="R52" s="15" t="str">
        <f>IFERROR(Medien[[#This Row],[Wert 
(Zahl)]]*Medien[[#This Row],[EF Scope 1 CO2e
(kg CO2e/Einheit)]],"")</f>
        <v/>
      </c>
      <c r="S52" s="15" t="str">
        <f>IFERROR(Medien[[#This Row],[Wert 
(Zahl)]]*Medien[[#This Row],[EF Scope 2 CO2e
(kg CO2e/Einheit)]],"")</f>
        <v/>
      </c>
      <c r="T52" s="15" t="str">
        <f>IFERROR(Medien[[#This Row],[Wert 
(Zahl)]]*Medien[[#This Row],[EF Scope 3 CO2e
(kg CO2e/Einheit)]],"")</f>
        <v/>
      </c>
    </row>
    <row r="53" spans="2:20" s="89" customFormat="1" x14ac:dyDescent="0.35">
      <c r="B53" s="616"/>
      <c r="C53" s="10" t="str">
        <f t="shared" si="1"/>
        <v>Medien</v>
      </c>
      <c r="D53" s="90"/>
      <c r="E53" s="90"/>
      <c r="F53" s="288"/>
      <c r="G53" s="10" t="str">
        <f>IFERROR(VLOOKUP(Medien[[#This Row],[Thema_Bezeichung]],EFs_Medien[],4,FALSE),"")</f>
        <v/>
      </c>
      <c r="H53" s="90"/>
      <c r="I53" s="90"/>
      <c r="J53" s="90"/>
      <c r="K53" s="284" t="str">
        <f>IF(ISBLANK(Medien[[#This Row],[Wert 
(Zahl)]]),"", SUM(Medien[[#This Row],[Scope 1 CO2e '[kg CO2e']]:[Scope 3 CO2e '[kg CO2e']]]))</f>
        <v/>
      </c>
      <c r="L53" s="408"/>
      <c r="M53" s="408"/>
      <c r="N53" s="15" t="str">
        <f>IF(ISBLANK(Medien[[#This Row],[Emissionsquelle/Aktivität (Dropdown)]]),"",CONCATENATE(Medien[[#This Row],[Sektor_Thema]]," - ",Medien[[#This Row],[Emissionsquelle/Aktivität (Dropdown)]]))</f>
        <v/>
      </c>
      <c r="O53" s="15" t="str">
        <f>IFERROR(VLOOKUP(Medien[[#This Row],[Thema_Bezeichung]],EFs_Medien[],5,FALSE),"")</f>
        <v/>
      </c>
      <c r="P53" s="15" t="str">
        <f>IFERROR(VLOOKUP(Medien[[#This Row],[Thema_Bezeichung]],EFs_Medien[],6,FALSE),"")</f>
        <v/>
      </c>
      <c r="Q53" s="15" t="str">
        <f>IFERROR(VLOOKUP(Medien[[#This Row],[Thema_Bezeichung]],EFs_Medien[],7,FALSE),"")</f>
        <v/>
      </c>
      <c r="R53" s="15" t="str">
        <f>IFERROR(Medien[[#This Row],[Wert 
(Zahl)]]*Medien[[#This Row],[EF Scope 1 CO2e
(kg CO2e/Einheit)]],"")</f>
        <v/>
      </c>
      <c r="S53" s="15" t="str">
        <f>IFERROR(Medien[[#This Row],[Wert 
(Zahl)]]*Medien[[#This Row],[EF Scope 2 CO2e
(kg CO2e/Einheit)]],"")</f>
        <v/>
      </c>
      <c r="T53" s="15" t="str">
        <f>IFERROR(Medien[[#This Row],[Wert 
(Zahl)]]*Medien[[#This Row],[EF Scope 3 CO2e
(kg CO2e/Einheit)]],"")</f>
        <v/>
      </c>
    </row>
    <row r="54" spans="2:20" s="89" customFormat="1" x14ac:dyDescent="0.35">
      <c r="B54" s="616"/>
      <c r="C54" s="10" t="str">
        <f t="shared" si="1"/>
        <v>Medien</v>
      </c>
      <c r="D54" s="90"/>
      <c r="E54" s="90"/>
      <c r="F54" s="288"/>
      <c r="G54" s="10" t="str">
        <f>IFERROR(VLOOKUP(Medien[[#This Row],[Thema_Bezeichung]],EFs_Medien[],4,FALSE),"")</f>
        <v/>
      </c>
      <c r="H54" s="90"/>
      <c r="I54" s="90"/>
      <c r="J54" s="90"/>
      <c r="K54" s="284" t="str">
        <f>IF(ISBLANK(Medien[[#This Row],[Wert 
(Zahl)]]),"", SUM(Medien[[#This Row],[Scope 1 CO2e '[kg CO2e']]:[Scope 3 CO2e '[kg CO2e']]]))</f>
        <v/>
      </c>
      <c r="L54" s="408"/>
      <c r="M54" s="408"/>
      <c r="N54" s="15" t="str">
        <f>IF(ISBLANK(Medien[[#This Row],[Emissionsquelle/Aktivität (Dropdown)]]),"",CONCATENATE(Medien[[#This Row],[Sektor_Thema]]," - ",Medien[[#This Row],[Emissionsquelle/Aktivität (Dropdown)]]))</f>
        <v/>
      </c>
      <c r="O54" s="15" t="str">
        <f>IFERROR(VLOOKUP(Medien[[#This Row],[Thema_Bezeichung]],EFs_Medien[],5,FALSE),"")</f>
        <v/>
      </c>
      <c r="P54" s="15" t="str">
        <f>IFERROR(VLOOKUP(Medien[[#This Row],[Thema_Bezeichung]],EFs_Medien[],6,FALSE),"")</f>
        <v/>
      </c>
      <c r="Q54" s="15" t="str">
        <f>IFERROR(VLOOKUP(Medien[[#This Row],[Thema_Bezeichung]],EFs_Medien[],7,FALSE),"")</f>
        <v/>
      </c>
      <c r="R54" s="15" t="str">
        <f>IFERROR(Medien[[#This Row],[Wert 
(Zahl)]]*Medien[[#This Row],[EF Scope 1 CO2e
(kg CO2e/Einheit)]],"")</f>
        <v/>
      </c>
      <c r="S54" s="15" t="str">
        <f>IFERROR(Medien[[#This Row],[Wert 
(Zahl)]]*Medien[[#This Row],[EF Scope 2 CO2e
(kg CO2e/Einheit)]],"")</f>
        <v/>
      </c>
      <c r="T54" s="15" t="str">
        <f>IFERROR(Medien[[#This Row],[Wert 
(Zahl)]]*Medien[[#This Row],[EF Scope 3 CO2e
(kg CO2e/Einheit)]],"")</f>
        <v/>
      </c>
    </row>
    <row r="55" spans="2:20" s="89" customFormat="1" x14ac:dyDescent="0.35">
      <c r="B55" s="616"/>
      <c r="C55" s="10" t="str">
        <f t="shared" si="1"/>
        <v>Medien</v>
      </c>
      <c r="D55" s="90"/>
      <c r="E55" s="90"/>
      <c r="F55" s="288"/>
      <c r="G55" s="10" t="str">
        <f>IFERROR(VLOOKUP(Medien[[#This Row],[Thema_Bezeichung]],EFs_Medien[],4,FALSE),"")</f>
        <v/>
      </c>
      <c r="H55" s="90"/>
      <c r="I55" s="90"/>
      <c r="J55" s="90"/>
      <c r="K55" s="284" t="str">
        <f>IF(ISBLANK(Medien[[#This Row],[Wert 
(Zahl)]]),"", SUM(Medien[[#This Row],[Scope 1 CO2e '[kg CO2e']]:[Scope 3 CO2e '[kg CO2e']]]))</f>
        <v/>
      </c>
      <c r="L55" s="408"/>
      <c r="M55" s="408"/>
      <c r="N55" s="15" t="str">
        <f>IF(ISBLANK(Medien[[#This Row],[Emissionsquelle/Aktivität (Dropdown)]]),"",CONCATENATE(Medien[[#This Row],[Sektor_Thema]]," - ",Medien[[#This Row],[Emissionsquelle/Aktivität (Dropdown)]]))</f>
        <v/>
      </c>
      <c r="O55" s="15" t="str">
        <f>IFERROR(VLOOKUP(Medien[[#This Row],[Thema_Bezeichung]],EFs_Medien[],5,FALSE),"")</f>
        <v/>
      </c>
      <c r="P55" s="15" t="str">
        <f>IFERROR(VLOOKUP(Medien[[#This Row],[Thema_Bezeichung]],EFs_Medien[],6,FALSE),"")</f>
        <v/>
      </c>
      <c r="Q55" s="15" t="str">
        <f>IFERROR(VLOOKUP(Medien[[#This Row],[Thema_Bezeichung]],EFs_Medien[],7,FALSE),"")</f>
        <v/>
      </c>
      <c r="R55" s="15" t="str">
        <f>IFERROR(Medien[[#This Row],[Wert 
(Zahl)]]*Medien[[#This Row],[EF Scope 1 CO2e
(kg CO2e/Einheit)]],"")</f>
        <v/>
      </c>
      <c r="S55" s="15" t="str">
        <f>IFERROR(Medien[[#This Row],[Wert 
(Zahl)]]*Medien[[#This Row],[EF Scope 2 CO2e
(kg CO2e/Einheit)]],"")</f>
        <v/>
      </c>
      <c r="T55" s="15" t="str">
        <f>IFERROR(Medien[[#This Row],[Wert 
(Zahl)]]*Medien[[#This Row],[EF Scope 3 CO2e
(kg CO2e/Einheit)]],"")</f>
        <v/>
      </c>
    </row>
    <row r="56" spans="2:20" s="89" customFormat="1" x14ac:dyDescent="0.35">
      <c r="B56" s="616"/>
      <c r="C56" s="10" t="str">
        <f t="shared" si="1"/>
        <v>Medien</v>
      </c>
      <c r="D56" s="90"/>
      <c r="E56" s="90"/>
      <c r="F56" s="288"/>
      <c r="G56" s="10" t="str">
        <f>IFERROR(VLOOKUP(Medien[[#This Row],[Thema_Bezeichung]],EFs_Medien[],4,FALSE),"")</f>
        <v/>
      </c>
      <c r="H56" s="90"/>
      <c r="I56" s="90"/>
      <c r="J56" s="90"/>
      <c r="K56" s="284" t="str">
        <f>IF(ISBLANK(Medien[[#This Row],[Wert 
(Zahl)]]),"", SUM(Medien[[#This Row],[Scope 1 CO2e '[kg CO2e']]:[Scope 3 CO2e '[kg CO2e']]]))</f>
        <v/>
      </c>
      <c r="L56" s="408"/>
      <c r="M56" s="408"/>
      <c r="N56" s="15" t="str">
        <f>IF(ISBLANK(Medien[[#This Row],[Emissionsquelle/Aktivität (Dropdown)]]),"",CONCATENATE(Medien[[#This Row],[Sektor_Thema]]," - ",Medien[[#This Row],[Emissionsquelle/Aktivität (Dropdown)]]))</f>
        <v/>
      </c>
      <c r="O56" s="15" t="str">
        <f>IFERROR(VLOOKUP(Medien[[#This Row],[Thema_Bezeichung]],EFs_Medien[],5,FALSE),"")</f>
        <v/>
      </c>
      <c r="P56" s="15" t="str">
        <f>IFERROR(VLOOKUP(Medien[[#This Row],[Thema_Bezeichung]],EFs_Medien[],6,FALSE),"")</f>
        <v/>
      </c>
      <c r="Q56" s="15" t="str">
        <f>IFERROR(VLOOKUP(Medien[[#This Row],[Thema_Bezeichung]],EFs_Medien[],7,FALSE),"")</f>
        <v/>
      </c>
      <c r="R56" s="15" t="str">
        <f>IFERROR(Medien[[#This Row],[Wert 
(Zahl)]]*Medien[[#This Row],[EF Scope 1 CO2e
(kg CO2e/Einheit)]],"")</f>
        <v/>
      </c>
      <c r="S56" s="15" t="str">
        <f>IFERROR(Medien[[#This Row],[Wert 
(Zahl)]]*Medien[[#This Row],[EF Scope 2 CO2e
(kg CO2e/Einheit)]],"")</f>
        <v/>
      </c>
      <c r="T56" s="15" t="str">
        <f>IFERROR(Medien[[#This Row],[Wert 
(Zahl)]]*Medien[[#This Row],[EF Scope 3 CO2e
(kg CO2e/Einheit)]],"")</f>
        <v/>
      </c>
    </row>
    <row r="57" spans="2:20" s="89" customFormat="1" x14ac:dyDescent="0.35">
      <c r="B57" s="616"/>
      <c r="C57" s="10" t="str">
        <f t="shared" si="1"/>
        <v>Medien</v>
      </c>
      <c r="D57" s="90"/>
      <c r="E57" s="90"/>
      <c r="F57" s="288"/>
      <c r="G57" s="10" t="str">
        <f>IFERROR(VLOOKUP(Medien[[#This Row],[Thema_Bezeichung]],EFs_Medien[],4,FALSE),"")</f>
        <v/>
      </c>
      <c r="H57" s="90"/>
      <c r="I57" s="90"/>
      <c r="J57" s="90"/>
      <c r="K57" s="284" t="str">
        <f>IF(ISBLANK(Medien[[#This Row],[Wert 
(Zahl)]]),"", SUM(Medien[[#This Row],[Scope 1 CO2e '[kg CO2e']]:[Scope 3 CO2e '[kg CO2e']]]))</f>
        <v/>
      </c>
      <c r="L57" s="408"/>
      <c r="M57" s="408"/>
      <c r="N57" s="15" t="str">
        <f>IF(ISBLANK(Medien[[#This Row],[Emissionsquelle/Aktivität (Dropdown)]]),"",CONCATENATE(Medien[[#This Row],[Sektor_Thema]]," - ",Medien[[#This Row],[Emissionsquelle/Aktivität (Dropdown)]]))</f>
        <v/>
      </c>
      <c r="O57" s="15" t="str">
        <f>IFERROR(VLOOKUP(Medien[[#This Row],[Thema_Bezeichung]],EFs_Medien[],5,FALSE),"")</f>
        <v/>
      </c>
      <c r="P57" s="15" t="str">
        <f>IFERROR(VLOOKUP(Medien[[#This Row],[Thema_Bezeichung]],EFs_Medien[],6,FALSE),"")</f>
        <v/>
      </c>
      <c r="Q57" s="15" t="str">
        <f>IFERROR(VLOOKUP(Medien[[#This Row],[Thema_Bezeichung]],EFs_Medien[],7,FALSE),"")</f>
        <v/>
      </c>
      <c r="R57" s="15" t="str">
        <f>IFERROR(Medien[[#This Row],[Wert 
(Zahl)]]*Medien[[#This Row],[EF Scope 1 CO2e
(kg CO2e/Einheit)]],"")</f>
        <v/>
      </c>
      <c r="S57" s="15" t="str">
        <f>IFERROR(Medien[[#This Row],[Wert 
(Zahl)]]*Medien[[#This Row],[EF Scope 2 CO2e
(kg CO2e/Einheit)]],"")</f>
        <v/>
      </c>
      <c r="T57" s="15" t="str">
        <f>IFERROR(Medien[[#This Row],[Wert 
(Zahl)]]*Medien[[#This Row],[EF Scope 3 CO2e
(kg CO2e/Einheit)]],"")</f>
        <v/>
      </c>
    </row>
    <row r="58" spans="2:20" s="89" customFormat="1" x14ac:dyDescent="0.35">
      <c r="B58" s="616"/>
      <c r="C58" s="10" t="str">
        <f t="shared" si="1"/>
        <v>Medien</v>
      </c>
      <c r="D58" s="90"/>
      <c r="E58" s="90"/>
      <c r="F58" s="288"/>
      <c r="G58" s="10" t="str">
        <f>IFERROR(VLOOKUP(Medien[[#This Row],[Thema_Bezeichung]],EFs_Medien[],4,FALSE),"")</f>
        <v/>
      </c>
      <c r="H58" s="90"/>
      <c r="I58" s="90"/>
      <c r="J58" s="90"/>
      <c r="K58" s="284" t="str">
        <f>IF(ISBLANK(Medien[[#This Row],[Wert 
(Zahl)]]),"", SUM(Medien[[#This Row],[Scope 1 CO2e '[kg CO2e']]:[Scope 3 CO2e '[kg CO2e']]]))</f>
        <v/>
      </c>
      <c r="L58" s="408"/>
      <c r="M58" s="408"/>
      <c r="N58" s="15" t="str">
        <f>IF(ISBLANK(Medien[[#This Row],[Emissionsquelle/Aktivität (Dropdown)]]),"",CONCATENATE(Medien[[#This Row],[Sektor_Thema]]," - ",Medien[[#This Row],[Emissionsquelle/Aktivität (Dropdown)]]))</f>
        <v/>
      </c>
      <c r="O58" s="15" t="str">
        <f>IFERROR(VLOOKUP(Medien[[#This Row],[Thema_Bezeichung]],EFs_Medien[],5,FALSE),"")</f>
        <v/>
      </c>
      <c r="P58" s="15" t="str">
        <f>IFERROR(VLOOKUP(Medien[[#This Row],[Thema_Bezeichung]],EFs_Medien[],6,FALSE),"")</f>
        <v/>
      </c>
      <c r="Q58" s="15" t="str">
        <f>IFERROR(VLOOKUP(Medien[[#This Row],[Thema_Bezeichung]],EFs_Medien[],7,FALSE),"")</f>
        <v/>
      </c>
      <c r="R58" s="15" t="str">
        <f>IFERROR(Medien[[#This Row],[Wert 
(Zahl)]]*Medien[[#This Row],[EF Scope 1 CO2e
(kg CO2e/Einheit)]],"")</f>
        <v/>
      </c>
      <c r="S58" s="15" t="str">
        <f>IFERROR(Medien[[#This Row],[Wert 
(Zahl)]]*Medien[[#This Row],[EF Scope 2 CO2e
(kg CO2e/Einheit)]],"")</f>
        <v/>
      </c>
      <c r="T58" s="15" t="str">
        <f>IFERROR(Medien[[#This Row],[Wert 
(Zahl)]]*Medien[[#This Row],[EF Scope 3 CO2e
(kg CO2e/Einheit)]],"")</f>
        <v/>
      </c>
    </row>
    <row r="59" spans="2:20" s="89" customFormat="1" x14ac:dyDescent="0.35">
      <c r="B59" s="616"/>
      <c r="C59" s="10" t="str">
        <f t="shared" si="1"/>
        <v>Medien</v>
      </c>
      <c r="D59" s="90"/>
      <c r="E59" s="90"/>
      <c r="F59" s="288"/>
      <c r="G59" s="10" t="str">
        <f>IFERROR(VLOOKUP(Medien[[#This Row],[Thema_Bezeichung]],EFs_Medien[],4,FALSE),"")</f>
        <v/>
      </c>
      <c r="H59" s="90"/>
      <c r="I59" s="90"/>
      <c r="J59" s="90"/>
      <c r="K59" s="284" t="str">
        <f>IF(ISBLANK(Medien[[#This Row],[Wert 
(Zahl)]]),"", SUM(Medien[[#This Row],[Scope 1 CO2e '[kg CO2e']]:[Scope 3 CO2e '[kg CO2e']]]))</f>
        <v/>
      </c>
      <c r="L59" s="408"/>
      <c r="M59" s="408"/>
      <c r="N59" s="15" t="str">
        <f>IF(ISBLANK(Medien[[#This Row],[Emissionsquelle/Aktivität (Dropdown)]]),"",CONCATENATE(Medien[[#This Row],[Sektor_Thema]]," - ",Medien[[#This Row],[Emissionsquelle/Aktivität (Dropdown)]]))</f>
        <v/>
      </c>
      <c r="O59" s="15" t="str">
        <f>IFERROR(VLOOKUP(Medien[[#This Row],[Thema_Bezeichung]],EFs_Medien[],5,FALSE),"")</f>
        <v/>
      </c>
      <c r="P59" s="15" t="str">
        <f>IFERROR(VLOOKUP(Medien[[#This Row],[Thema_Bezeichung]],EFs_Medien[],6,FALSE),"")</f>
        <v/>
      </c>
      <c r="Q59" s="15" t="str">
        <f>IFERROR(VLOOKUP(Medien[[#This Row],[Thema_Bezeichung]],EFs_Medien[],7,FALSE),"")</f>
        <v/>
      </c>
      <c r="R59" s="15" t="str">
        <f>IFERROR(Medien[[#This Row],[Wert 
(Zahl)]]*Medien[[#This Row],[EF Scope 1 CO2e
(kg CO2e/Einheit)]],"")</f>
        <v/>
      </c>
      <c r="S59" s="15" t="str">
        <f>IFERROR(Medien[[#This Row],[Wert 
(Zahl)]]*Medien[[#This Row],[EF Scope 2 CO2e
(kg CO2e/Einheit)]],"")</f>
        <v/>
      </c>
      <c r="T59" s="15" t="str">
        <f>IFERROR(Medien[[#This Row],[Wert 
(Zahl)]]*Medien[[#This Row],[EF Scope 3 CO2e
(kg CO2e/Einheit)]],"")</f>
        <v/>
      </c>
    </row>
    <row r="60" spans="2:20" s="89" customFormat="1" x14ac:dyDescent="0.35">
      <c r="B60" s="616"/>
      <c r="C60" s="10" t="str">
        <f t="shared" si="1"/>
        <v>Medien</v>
      </c>
      <c r="D60" s="90"/>
      <c r="E60" s="90"/>
      <c r="F60" s="288"/>
      <c r="G60" s="10" t="str">
        <f>IFERROR(VLOOKUP(Medien[[#This Row],[Thema_Bezeichung]],EFs_Medien[],4,FALSE),"")</f>
        <v/>
      </c>
      <c r="H60" s="90"/>
      <c r="I60" s="90"/>
      <c r="J60" s="90"/>
      <c r="K60" s="284" t="str">
        <f>IF(ISBLANK(Medien[[#This Row],[Wert 
(Zahl)]]),"", SUM(Medien[[#This Row],[Scope 1 CO2e '[kg CO2e']]:[Scope 3 CO2e '[kg CO2e']]]))</f>
        <v/>
      </c>
      <c r="L60" s="408"/>
      <c r="M60" s="408"/>
      <c r="N60" s="15" t="str">
        <f>IF(ISBLANK(Medien[[#This Row],[Emissionsquelle/Aktivität (Dropdown)]]),"",CONCATENATE(Medien[[#This Row],[Sektor_Thema]]," - ",Medien[[#This Row],[Emissionsquelle/Aktivität (Dropdown)]]))</f>
        <v/>
      </c>
      <c r="O60" s="15" t="str">
        <f>IFERROR(VLOOKUP(Medien[[#This Row],[Thema_Bezeichung]],EFs_Medien[],5,FALSE),"")</f>
        <v/>
      </c>
      <c r="P60" s="15" t="str">
        <f>IFERROR(VLOOKUP(Medien[[#This Row],[Thema_Bezeichung]],EFs_Medien[],6,FALSE),"")</f>
        <v/>
      </c>
      <c r="Q60" s="15" t="str">
        <f>IFERROR(VLOOKUP(Medien[[#This Row],[Thema_Bezeichung]],EFs_Medien[],7,FALSE),"")</f>
        <v/>
      </c>
      <c r="R60" s="15" t="str">
        <f>IFERROR(Medien[[#This Row],[Wert 
(Zahl)]]*Medien[[#This Row],[EF Scope 1 CO2e
(kg CO2e/Einheit)]],"")</f>
        <v/>
      </c>
      <c r="S60" s="15" t="str">
        <f>IFERROR(Medien[[#This Row],[Wert 
(Zahl)]]*Medien[[#This Row],[EF Scope 2 CO2e
(kg CO2e/Einheit)]],"")</f>
        <v/>
      </c>
      <c r="T60" s="15" t="str">
        <f>IFERROR(Medien[[#This Row],[Wert 
(Zahl)]]*Medien[[#This Row],[EF Scope 3 CO2e
(kg CO2e/Einheit)]],"")</f>
        <v/>
      </c>
    </row>
    <row r="61" spans="2:20" s="89" customFormat="1" x14ac:dyDescent="0.35">
      <c r="B61" s="616"/>
      <c r="C61" s="10" t="str">
        <f t="shared" si="1"/>
        <v>Medien</v>
      </c>
      <c r="D61" s="90"/>
      <c r="E61" s="90"/>
      <c r="F61" s="288"/>
      <c r="G61" s="10" t="str">
        <f>IFERROR(VLOOKUP(Medien[[#This Row],[Thema_Bezeichung]],EFs_Medien[],4,FALSE),"")</f>
        <v/>
      </c>
      <c r="H61" s="90"/>
      <c r="I61" s="90"/>
      <c r="J61" s="90"/>
      <c r="K61" s="284" t="str">
        <f>IF(ISBLANK(Medien[[#This Row],[Wert 
(Zahl)]]),"", SUM(Medien[[#This Row],[Scope 1 CO2e '[kg CO2e']]:[Scope 3 CO2e '[kg CO2e']]]))</f>
        <v/>
      </c>
      <c r="L61" s="408"/>
      <c r="M61" s="408"/>
      <c r="N61" s="15" t="str">
        <f>IF(ISBLANK(Medien[[#This Row],[Emissionsquelle/Aktivität (Dropdown)]]),"",CONCATENATE(Medien[[#This Row],[Sektor_Thema]]," - ",Medien[[#This Row],[Emissionsquelle/Aktivität (Dropdown)]]))</f>
        <v/>
      </c>
      <c r="O61" s="15" t="str">
        <f>IFERROR(VLOOKUP(Medien[[#This Row],[Thema_Bezeichung]],EFs_Medien[],5,FALSE),"")</f>
        <v/>
      </c>
      <c r="P61" s="15" t="str">
        <f>IFERROR(VLOOKUP(Medien[[#This Row],[Thema_Bezeichung]],EFs_Medien[],6,FALSE),"")</f>
        <v/>
      </c>
      <c r="Q61" s="15" t="str">
        <f>IFERROR(VLOOKUP(Medien[[#This Row],[Thema_Bezeichung]],EFs_Medien[],7,FALSE),"")</f>
        <v/>
      </c>
      <c r="R61" s="15" t="str">
        <f>IFERROR(Medien[[#This Row],[Wert 
(Zahl)]]*Medien[[#This Row],[EF Scope 1 CO2e
(kg CO2e/Einheit)]],"")</f>
        <v/>
      </c>
      <c r="S61" s="15" t="str">
        <f>IFERROR(Medien[[#This Row],[Wert 
(Zahl)]]*Medien[[#This Row],[EF Scope 2 CO2e
(kg CO2e/Einheit)]],"")</f>
        <v/>
      </c>
      <c r="T61" s="15" t="str">
        <f>IFERROR(Medien[[#This Row],[Wert 
(Zahl)]]*Medien[[#This Row],[EF Scope 3 CO2e
(kg CO2e/Einheit)]],"")</f>
        <v/>
      </c>
    </row>
    <row r="62" spans="2:20" s="89" customFormat="1" x14ac:dyDescent="0.35">
      <c r="B62" s="616"/>
      <c r="C62" s="10" t="str">
        <f t="shared" si="1"/>
        <v>Medien</v>
      </c>
      <c r="D62" s="90"/>
      <c r="E62" s="90"/>
      <c r="F62" s="288"/>
      <c r="G62" s="10" t="str">
        <f>IFERROR(VLOOKUP(Medien[[#This Row],[Thema_Bezeichung]],EFs_Medien[],4,FALSE),"")</f>
        <v/>
      </c>
      <c r="H62" s="90"/>
      <c r="I62" s="90"/>
      <c r="J62" s="90"/>
      <c r="K62" s="284" t="str">
        <f>IF(ISBLANK(Medien[[#This Row],[Wert 
(Zahl)]]),"", SUM(Medien[[#This Row],[Scope 1 CO2e '[kg CO2e']]:[Scope 3 CO2e '[kg CO2e']]]))</f>
        <v/>
      </c>
      <c r="L62" s="408"/>
      <c r="M62" s="408"/>
      <c r="N62" s="15" t="str">
        <f>IF(ISBLANK(Medien[[#This Row],[Emissionsquelle/Aktivität (Dropdown)]]),"",CONCATENATE(Medien[[#This Row],[Sektor_Thema]]," - ",Medien[[#This Row],[Emissionsquelle/Aktivität (Dropdown)]]))</f>
        <v/>
      </c>
      <c r="O62" s="15" t="str">
        <f>IFERROR(VLOOKUP(Medien[[#This Row],[Thema_Bezeichung]],EFs_Medien[],5,FALSE),"")</f>
        <v/>
      </c>
      <c r="P62" s="15" t="str">
        <f>IFERROR(VLOOKUP(Medien[[#This Row],[Thema_Bezeichung]],EFs_Medien[],6,FALSE),"")</f>
        <v/>
      </c>
      <c r="Q62" s="15" t="str">
        <f>IFERROR(VLOOKUP(Medien[[#This Row],[Thema_Bezeichung]],EFs_Medien[],7,FALSE),"")</f>
        <v/>
      </c>
      <c r="R62" s="15" t="str">
        <f>IFERROR(Medien[[#This Row],[Wert 
(Zahl)]]*Medien[[#This Row],[EF Scope 1 CO2e
(kg CO2e/Einheit)]],"")</f>
        <v/>
      </c>
      <c r="S62" s="15" t="str">
        <f>IFERROR(Medien[[#This Row],[Wert 
(Zahl)]]*Medien[[#This Row],[EF Scope 2 CO2e
(kg CO2e/Einheit)]],"")</f>
        <v/>
      </c>
      <c r="T62" s="15" t="str">
        <f>IFERROR(Medien[[#This Row],[Wert 
(Zahl)]]*Medien[[#This Row],[EF Scope 3 CO2e
(kg CO2e/Einheit)]],"")</f>
        <v/>
      </c>
    </row>
    <row r="63" spans="2:20" s="89" customFormat="1" x14ac:dyDescent="0.35">
      <c r="B63" s="616"/>
      <c r="C63" s="10" t="str">
        <f t="shared" si="1"/>
        <v>Medien</v>
      </c>
      <c r="D63" s="90"/>
      <c r="E63" s="90"/>
      <c r="F63" s="288"/>
      <c r="G63" s="10" t="str">
        <f>IFERROR(VLOOKUP(Medien[[#This Row],[Thema_Bezeichung]],EFs_Medien[],4,FALSE),"")</f>
        <v/>
      </c>
      <c r="H63" s="90"/>
      <c r="I63" s="90"/>
      <c r="J63" s="90"/>
      <c r="K63" s="284" t="str">
        <f>IF(ISBLANK(Medien[[#This Row],[Wert 
(Zahl)]]),"", SUM(Medien[[#This Row],[Scope 1 CO2e '[kg CO2e']]:[Scope 3 CO2e '[kg CO2e']]]))</f>
        <v/>
      </c>
      <c r="L63" s="408"/>
      <c r="M63" s="408"/>
      <c r="N63" s="15" t="str">
        <f>IF(ISBLANK(Medien[[#This Row],[Emissionsquelle/Aktivität (Dropdown)]]),"",CONCATENATE(Medien[[#This Row],[Sektor_Thema]]," - ",Medien[[#This Row],[Emissionsquelle/Aktivität (Dropdown)]]))</f>
        <v/>
      </c>
      <c r="O63" s="15" t="str">
        <f>IFERROR(VLOOKUP(Medien[[#This Row],[Thema_Bezeichung]],EFs_Medien[],5,FALSE),"")</f>
        <v/>
      </c>
      <c r="P63" s="15" t="str">
        <f>IFERROR(VLOOKUP(Medien[[#This Row],[Thema_Bezeichung]],EFs_Medien[],6,FALSE),"")</f>
        <v/>
      </c>
      <c r="Q63" s="15" t="str">
        <f>IFERROR(VLOOKUP(Medien[[#This Row],[Thema_Bezeichung]],EFs_Medien[],7,FALSE),"")</f>
        <v/>
      </c>
      <c r="R63" s="15" t="str">
        <f>IFERROR(Medien[[#This Row],[Wert 
(Zahl)]]*Medien[[#This Row],[EF Scope 1 CO2e
(kg CO2e/Einheit)]],"")</f>
        <v/>
      </c>
      <c r="S63" s="15" t="str">
        <f>IFERROR(Medien[[#This Row],[Wert 
(Zahl)]]*Medien[[#This Row],[EF Scope 2 CO2e
(kg CO2e/Einheit)]],"")</f>
        <v/>
      </c>
      <c r="T63" s="15" t="str">
        <f>IFERROR(Medien[[#This Row],[Wert 
(Zahl)]]*Medien[[#This Row],[EF Scope 3 CO2e
(kg CO2e/Einheit)]],"")</f>
        <v/>
      </c>
    </row>
    <row r="64" spans="2:20" s="89" customFormat="1" x14ac:dyDescent="0.35">
      <c r="B64" s="616"/>
      <c r="C64" s="10" t="str">
        <f t="shared" si="1"/>
        <v>Medien</v>
      </c>
      <c r="D64" s="90"/>
      <c r="E64" s="90"/>
      <c r="F64" s="288"/>
      <c r="G64" s="10" t="str">
        <f>IFERROR(VLOOKUP(Medien[[#This Row],[Thema_Bezeichung]],EFs_Medien[],4,FALSE),"")</f>
        <v/>
      </c>
      <c r="H64" s="90"/>
      <c r="I64" s="90"/>
      <c r="J64" s="90"/>
      <c r="K64" s="284" t="str">
        <f>IF(ISBLANK(Medien[[#This Row],[Wert 
(Zahl)]]),"", SUM(Medien[[#This Row],[Scope 1 CO2e '[kg CO2e']]:[Scope 3 CO2e '[kg CO2e']]]))</f>
        <v/>
      </c>
      <c r="L64" s="408"/>
      <c r="M64" s="408"/>
      <c r="N64" s="15" t="str">
        <f>IF(ISBLANK(Medien[[#This Row],[Emissionsquelle/Aktivität (Dropdown)]]),"",CONCATENATE(Medien[[#This Row],[Sektor_Thema]]," - ",Medien[[#This Row],[Emissionsquelle/Aktivität (Dropdown)]]))</f>
        <v/>
      </c>
      <c r="O64" s="15" t="str">
        <f>IFERROR(VLOOKUP(Medien[[#This Row],[Thema_Bezeichung]],EFs_Medien[],5,FALSE),"")</f>
        <v/>
      </c>
      <c r="P64" s="15" t="str">
        <f>IFERROR(VLOOKUP(Medien[[#This Row],[Thema_Bezeichung]],EFs_Medien[],6,FALSE),"")</f>
        <v/>
      </c>
      <c r="Q64" s="15" t="str">
        <f>IFERROR(VLOOKUP(Medien[[#This Row],[Thema_Bezeichung]],EFs_Medien[],7,FALSE),"")</f>
        <v/>
      </c>
      <c r="R64" s="15" t="str">
        <f>IFERROR(Medien[[#This Row],[Wert 
(Zahl)]]*Medien[[#This Row],[EF Scope 1 CO2e
(kg CO2e/Einheit)]],"")</f>
        <v/>
      </c>
      <c r="S64" s="15" t="str">
        <f>IFERROR(Medien[[#This Row],[Wert 
(Zahl)]]*Medien[[#This Row],[EF Scope 2 CO2e
(kg CO2e/Einheit)]],"")</f>
        <v/>
      </c>
      <c r="T64" s="15" t="str">
        <f>IFERROR(Medien[[#This Row],[Wert 
(Zahl)]]*Medien[[#This Row],[EF Scope 3 CO2e
(kg CO2e/Einheit)]],"")</f>
        <v/>
      </c>
    </row>
    <row r="65" spans="1:23" s="89" customFormat="1" x14ac:dyDescent="0.35">
      <c r="B65" s="616"/>
      <c r="C65" s="10" t="str">
        <f t="shared" si="1"/>
        <v>Medien</v>
      </c>
      <c r="D65" s="90"/>
      <c r="E65" s="90"/>
      <c r="F65" s="288"/>
      <c r="G65" s="10" t="str">
        <f>IFERROR(VLOOKUP(Medien[[#This Row],[Thema_Bezeichung]],EFs_Medien[],4,FALSE),"")</f>
        <v/>
      </c>
      <c r="H65" s="90"/>
      <c r="I65" s="90"/>
      <c r="J65" s="90"/>
      <c r="K65" s="284" t="str">
        <f>IF(ISBLANK(Medien[[#This Row],[Wert 
(Zahl)]]),"", SUM(Medien[[#This Row],[Scope 1 CO2e '[kg CO2e']]:[Scope 3 CO2e '[kg CO2e']]]))</f>
        <v/>
      </c>
      <c r="L65" s="408"/>
      <c r="M65" s="408"/>
      <c r="N65" s="15" t="str">
        <f>IF(ISBLANK(Medien[[#This Row],[Emissionsquelle/Aktivität (Dropdown)]]),"",CONCATENATE(Medien[[#This Row],[Sektor_Thema]]," - ",Medien[[#This Row],[Emissionsquelle/Aktivität (Dropdown)]]))</f>
        <v/>
      </c>
      <c r="O65" s="15" t="str">
        <f>IFERROR(VLOOKUP(Medien[[#This Row],[Thema_Bezeichung]],EFs_Medien[],5,FALSE),"")</f>
        <v/>
      </c>
      <c r="P65" s="15" t="str">
        <f>IFERROR(VLOOKUP(Medien[[#This Row],[Thema_Bezeichung]],EFs_Medien[],6,FALSE),"")</f>
        <v/>
      </c>
      <c r="Q65" s="15" t="str">
        <f>IFERROR(VLOOKUP(Medien[[#This Row],[Thema_Bezeichung]],EFs_Medien[],7,FALSE),"")</f>
        <v/>
      </c>
      <c r="R65" s="15" t="str">
        <f>IFERROR(Medien[[#This Row],[Wert 
(Zahl)]]*Medien[[#This Row],[EF Scope 1 CO2e
(kg CO2e/Einheit)]],"")</f>
        <v/>
      </c>
      <c r="S65" s="15" t="str">
        <f>IFERROR(Medien[[#This Row],[Wert 
(Zahl)]]*Medien[[#This Row],[EF Scope 2 CO2e
(kg CO2e/Einheit)]],"")</f>
        <v/>
      </c>
      <c r="T65" s="15" t="str">
        <f>IFERROR(Medien[[#This Row],[Wert 
(Zahl)]]*Medien[[#This Row],[EF Scope 3 CO2e
(kg CO2e/Einheit)]],"")</f>
        <v/>
      </c>
    </row>
    <row r="66" spans="1:23" s="89" customFormat="1" x14ac:dyDescent="0.35">
      <c r="B66" s="616"/>
      <c r="C66" s="10" t="str">
        <f t="shared" si="1"/>
        <v>Medien</v>
      </c>
      <c r="D66" s="90"/>
      <c r="E66" s="90"/>
      <c r="F66" s="288"/>
      <c r="G66" s="10" t="str">
        <f>IFERROR(VLOOKUP(Medien[[#This Row],[Thema_Bezeichung]],EFs_Medien[],4,FALSE),"")</f>
        <v/>
      </c>
      <c r="H66" s="90"/>
      <c r="I66" s="90"/>
      <c r="J66" s="90"/>
      <c r="K66" s="284" t="str">
        <f>IF(ISBLANK(Medien[[#This Row],[Wert 
(Zahl)]]),"", SUM(Medien[[#This Row],[Scope 1 CO2e '[kg CO2e']]:[Scope 3 CO2e '[kg CO2e']]]))</f>
        <v/>
      </c>
      <c r="L66" s="408"/>
      <c r="M66" s="408"/>
      <c r="N66" s="15" t="str">
        <f>IF(ISBLANK(Medien[[#This Row],[Emissionsquelle/Aktivität (Dropdown)]]),"",CONCATENATE(Medien[[#This Row],[Sektor_Thema]]," - ",Medien[[#This Row],[Emissionsquelle/Aktivität (Dropdown)]]))</f>
        <v/>
      </c>
      <c r="O66" s="15" t="str">
        <f>IFERROR(VLOOKUP(Medien[[#This Row],[Thema_Bezeichung]],EFs_Medien[],5,FALSE),"")</f>
        <v/>
      </c>
      <c r="P66" s="15" t="str">
        <f>IFERROR(VLOOKUP(Medien[[#This Row],[Thema_Bezeichung]],EFs_Medien[],6,FALSE),"")</f>
        <v/>
      </c>
      <c r="Q66" s="15" t="str">
        <f>IFERROR(VLOOKUP(Medien[[#This Row],[Thema_Bezeichung]],EFs_Medien[],7,FALSE),"")</f>
        <v/>
      </c>
      <c r="R66" s="15" t="str">
        <f>IFERROR(Medien[[#This Row],[Wert 
(Zahl)]]*Medien[[#This Row],[EF Scope 1 CO2e
(kg CO2e/Einheit)]],"")</f>
        <v/>
      </c>
      <c r="S66" s="15" t="str">
        <f>IFERROR(Medien[[#This Row],[Wert 
(Zahl)]]*Medien[[#This Row],[EF Scope 2 CO2e
(kg CO2e/Einheit)]],"")</f>
        <v/>
      </c>
      <c r="T66" s="15" t="str">
        <f>IFERROR(Medien[[#This Row],[Wert 
(Zahl)]]*Medien[[#This Row],[EF Scope 3 CO2e
(kg CO2e/Einheit)]],"")</f>
        <v/>
      </c>
    </row>
    <row r="67" spans="1:23" s="89" customFormat="1" x14ac:dyDescent="0.35">
      <c r="B67" s="616"/>
      <c r="C67" s="90" t="str">
        <f t="shared" si="1"/>
        <v>Medien</v>
      </c>
      <c r="D67" s="90"/>
      <c r="E67" s="90"/>
      <c r="F67" s="288"/>
      <c r="G67" s="90" t="str">
        <f>IFERROR(VLOOKUP(Medien[[#This Row],[Thema_Bezeichung]],EFs_Medien[],4,FALSE),"")</f>
        <v/>
      </c>
      <c r="H67" s="90"/>
      <c r="I67" s="90"/>
      <c r="J67" s="90"/>
      <c r="K67" s="285" t="str">
        <f>IF(ISBLANK(Medien[[#This Row],[Wert 
(Zahl)]]),"", SUM(Medien[[#This Row],[Scope 1 CO2e '[kg CO2e']]:[Scope 3 CO2e '[kg CO2e']]]))</f>
        <v/>
      </c>
      <c r="L67" s="409"/>
      <c r="M67" s="409"/>
      <c r="N67" s="94" t="str">
        <f>IF(ISBLANK(Medien[[#This Row],[Emissionsquelle/Aktivität (Dropdown)]]),"",CONCATENATE(Medien[[#This Row],[Sektor_Thema]]," - ",Medien[[#This Row],[Emissionsquelle/Aktivität (Dropdown)]]))</f>
        <v/>
      </c>
      <c r="O67" s="94" t="str">
        <f>IFERROR(VLOOKUP(Medien[[#This Row],[Thema_Bezeichung]],EFs_Medien[],5,FALSE),"")</f>
        <v/>
      </c>
      <c r="P67" s="94" t="str">
        <f>IFERROR(VLOOKUP(Medien[[#This Row],[Thema_Bezeichung]],EFs_Medien[],6,FALSE),"")</f>
        <v/>
      </c>
      <c r="Q67" s="94" t="str">
        <f>IFERROR(VLOOKUP(Medien[[#This Row],[Thema_Bezeichung]],EFs_Medien[],7,FALSE),"")</f>
        <v/>
      </c>
      <c r="R67" s="94" t="str">
        <f>IFERROR(Medien[[#This Row],[Wert 
(Zahl)]]*Medien[[#This Row],[EF Scope 1 CO2e
(kg CO2e/Einheit)]],"")</f>
        <v/>
      </c>
      <c r="S67" s="94" t="str">
        <f>IFERROR(Medien[[#This Row],[Wert 
(Zahl)]]*Medien[[#This Row],[EF Scope 2 CO2e
(kg CO2e/Einheit)]],"")</f>
        <v/>
      </c>
      <c r="T67" s="94" t="str">
        <f>IFERROR(Medien[[#This Row],[Wert 
(Zahl)]]*Medien[[#This Row],[EF Scope 3 CO2e
(kg CO2e/Einheit)]],"")</f>
        <v/>
      </c>
    </row>
    <row r="68" spans="1:23" s="89" customFormat="1" ht="15" thickBot="1" x14ac:dyDescent="0.4">
      <c r="B68" s="617"/>
      <c r="C68" s="90" t="str">
        <f t="shared" si="1"/>
        <v>Medien</v>
      </c>
      <c r="D68" s="90"/>
      <c r="E68" s="90"/>
      <c r="F68" s="288"/>
      <c r="G68" s="90" t="str">
        <f>IFERROR(VLOOKUP(Medien[[#This Row],[Thema_Bezeichung]],EFs_Medien[],4,FALSE),"")</f>
        <v/>
      </c>
      <c r="H68" s="90"/>
      <c r="I68" s="90"/>
      <c r="J68" s="90"/>
      <c r="K68" s="285" t="str">
        <f>IF(ISBLANK(Medien[[#This Row],[Wert 
(Zahl)]]),"", SUM(Medien[[#This Row],[Scope 1 CO2e '[kg CO2e']]:[Scope 3 CO2e '[kg CO2e']]]))</f>
        <v/>
      </c>
      <c r="L68" s="409"/>
      <c r="M68" s="409"/>
      <c r="N68" s="94" t="str">
        <f>IF(ISBLANK(Medien[[#This Row],[Emissionsquelle/Aktivität (Dropdown)]]),"",CONCATENATE(Medien[[#This Row],[Sektor_Thema]]," - ",Medien[[#This Row],[Emissionsquelle/Aktivität (Dropdown)]]))</f>
        <v/>
      </c>
      <c r="O68" s="94" t="str">
        <f>IFERROR(VLOOKUP(Medien[[#This Row],[Thema_Bezeichung]],EFs_Medien[],5,FALSE),"")</f>
        <v/>
      </c>
      <c r="P68" s="94" t="str">
        <f>IFERROR(VLOOKUP(Medien[[#This Row],[Thema_Bezeichung]],EFs_Medien[],6,FALSE),"")</f>
        <v/>
      </c>
      <c r="Q68" s="94" t="str">
        <f>IFERROR(VLOOKUP(Medien[[#This Row],[Thema_Bezeichung]],EFs_Medien[],7,FALSE),"")</f>
        <v/>
      </c>
      <c r="R68" s="94" t="str">
        <f>IFERROR(Medien[[#This Row],[Wert 
(Zahl)]]*Medien[[#This Row],[EF Scope 1 CO2e
(kg CO2e/Einheit)]],"")</f>
        <v/>
      </c>
      <c r="S68" s="94" t="str">
        <f>IFERROR(Medien[[#This Row],[Wert 
(Zahl)]]*Medien[[#This Row],[EF Scope 2 CO2e
(kg CO2e/Einheit)]],"")</f>
        <v/>
      </c>
      <c r="T68" s="94" t="str">
        <f>IFERROR(Medien[[#This Row],[Wert 
(Zahl)]]*Medien[[#This Row],[EF Scope 3 CO2e
(kg CO2e/Einheit)]],"")</f>
        <v/>
      </c>
    </row>
    <row r="69" spans="1:23" s="2" customFormat="1" ht="15" thickTop="1" x14ac:dyDescent="0.35">
      <c r="B69" s="53"/>
      <c r="D69" s="2" t="s">
        <v>204</v>
      </c>
      <c r="K69" s="291">
        <f>SUBTOTAL(109,Medien[Ergebnis '[kg CO2e']
(vorausgefüllt)])</f>
        <v>0</v>
      </c>
      <c r="L69" s="410"/>
      <c r="M69" s="410"/>
      <c r="R69" s="2">
        <f>SUBTOTAL(109,Medien[Scope 1 CO2e '[kg CO2e']])</f>
        <v>0</v>
      </c>
      <c r="S69" s="2">
        <f>SUBTOTAL(109,Medien[Scope 2 CO2e '[kg CO2e']])</f>
        <v>0</v>
      </c>
      <c r="T69" s="2">
        <f>SUBTOTAL(109,Medien[Scope 3 CO2e '[kg CO2e']])</f>
        <v>0</v>
      </c>
    </row>
    <row r="70" spans="1:23" ht="120" customHeight="1" x14ac:dyDescent="0.35">
      <c r="B70" s="183" t="s">
        <v>79</v>
      </c>
      <c r="C70" s="11"/>
      <c r="D70" s="11"/>
      <c r="L70" s="161"/>
    </row>
    <row r="71" spans="1:23" x14ac:dyDescent="0.35">
      <c r="B71" s="127" t="s">
        <v>80</v>
      </c>
    </row>
    <row r="72" spans="1:23" s="1" customFormat="1" ht="20.25" customHeight="1" x14ac:dyDescent="0.45">
      <c r="A72"/>
      <c r="B72" s="126" t="s">
        <v>20</v>
      </c>
      <c r="C72"/>
      <c r="D72"/>
      <c r="E72"/>
      <c r="F72"/>
      <c r="G72"/>
      <c r="H72"/>
      <c r="I72"/>
      <c r="J72"/>
      <c r="K72"/>
      <c r="L72"/>
      <c r="M72"/>
      <c r="N72"/>
      <c r="O72"/>
      <c r="P72"/>
      <c r="Q72"/>
      <c r="R72"/>
      <c r="S72"/>
      <c r="T72"/>
      <c r="U72"/>
      <c r="V72"/>
      <c r="W72"/>
    </row>
    <row r="73" spans="1:23" ht="65" customHeight="1" x14ac:dyDescent="0.35">
      <c r="A73" s="1"/>
      <c r="B73" s="278" t="s">
        <v>81</v>
      </c>
      <c r="C73" s="279"/>
      <c r="D73" s="601" t="s">
        <v>621</v>
      </c>
      <c r="E73" s="601"/>
      <c r="F73" s="601"/>
      <c r="G73" s="601"/>
      <c r="H73" s="601"/>
      <c r="I73" s="602"/>
      <c r="J73" s="1"/>
      <c r="K73" s="1"/>
      <c r="L73" s="1"/>
      <c r="M73" s="1"/>
      <c r="N73" s="1"/>
      <c r="O73" s="1"/>
      <c r="P73" s="1"/>
      <c r="Q73" s="1"/>
      <c r="R73" s="1"/>
      <c r="S73" s="1"/>
      <c r="T73" s="1"/>
      <c r="U73" s="1"/>
      <c r="V73" s="1"/>
      <c r="W73" s="1"/>
    </row>
    <row r="74" spans="1:23" x14ac:dyDescent="0.35">
      <c r="C74" t="s">
        <v>47</v>
      </c>
    </row>
    <row r="75" spans="1:23" ht="44" thickBot="1" x14ac:dyDescent="0.4">
      <c r="B75" s="10"/>
      <c r="C75" s="23" t="s">
        <v>46</v>
      </c>
      <c r="D75" s="150" t="s">
        <v>192</v>
      </c>
      <c r="E75" s="150" t="s">
        <v>65</v>
      </c>
      <c r="F75" s="150" t="s">
        <v>66</v>
      </c>
      <c r="G75" s="96" t="s">
        <v>78</v>
      </c>
      <c r="H75" s="150" t="s">
        <v>120</v>
      </c>
      <c r="I75" s="96" t="s">
        <v>74</v>
      </c>
      <c r="J75" s="96" t="s">
        <v>75</v>
      </c>
      <c r="K75" s="134" t="s">
        <v>575</v>
      </c>
      <c r="L75" s="407" t="s">
        <v>424</v>
      </c>
      <c r="M75" s="407" t="s">
        <v>484</v>
      </c>
      <c r="N75" s="97" t="s">
        <v>217</v>
      </c>
      <c r="O75" s="432" t="s">
        <v>485</v>
      </c>
      <c r="P75" s="432" t="s">
        <v>486</v>
      </c>
      <c r="Q75" s="432" t="s">
        <v>487</v>
      </c>
      <c r="R75" s="134" t="s">
        <v>493</v>
      </c>
      <c r="S75" s="134" t="s">
        <v>527</v>
      </c>
      <c r="T75" s="134" t="s">
        <v>528</v>
      </c>
    </row>
    <row r="76" spans="1:23" s="86" customFormat="1" ht="15" thickTop="1" x14ac:dyDescent="0.35">
      <c r="B76" s="620" t="s">
        <v>20</v>
      </c>
      <c r="C76" s="1" t="str">
        <f t="shared" ref="C76:C95" si="2">$C$74</f>
        <v>IT_Dienstleistungen</v>
      </c>
      <c r="D76" s="90"/>
      <c r="E76" s="90"/>
      <c r="F76" s="288"/>
      <c r="G76" s="10" t="str">
        <f>IFERROR(VLOOKUP(IT_Dienstleistungen[[#This Row],[Thema_Bezeichung]],EFs_IT[],4,FALSE),"")</f>
        <v/>
      </c>
      <c r="H76" s="90"/>
      <c r="I76" s="90"/>
      <c r="J76" s="90"/>
      <c r="K76" s="284" t="str">
        <f>IF(ISBLANK(IT_Dienstleistungen[[#This Row],[Wert 
(Zahl)]]),"",SUM(IT_Dienstleistungen[[#This Row],[Scope 1 CO2e '[kg CO2e']]:[Scope 3 CO2e '[kg CO2e']]]))</f>
        <v/>
      </c>
      <c r="L76" s="408"/>
      <c r="M76" s="408"/>
      <c r="N76" s="15" t="str">
        <f>IF(ISBLANK(IT_Dienstleistungen[[#This Row],[Emissionsquelle/Aktivität (Dropdown)]]),"",CONCATENATE(IT_Dienstleistungen[[#This Row],[Sektor_Thema]]," - ",IT_Dienstleistungen[[#This Row],[Emissionsquelle/Aktivität (Dropdown)]]))</f>
        <v/>
      </c>
      <c r="O76" s="10" t="str">
        <f>IFERROR(VLOOKUP(IT_Dienstleistungen[[#This Row],[Thema_Bezeichung]],EFs_IT[],5,FALSE),"")</f>
        <v/>
      </c>
      <c r="P76" s="10" t="str">
        <f>IFERROR(VLOOKUP(IT_Dienstleistungen[[#This Row],[Thema_Bezeichung]],EFs_IT[],6,FALSE),"")</f>
        <v/>
      </c>
      <c r="Q76" s="10" t="str">
        <f>IFERROR(VLOOKUP(IT_Dienstleistungen[[#This Row],[Thema_Bezeichung]],EFs_IT[],7,FALSE),"")</f>
        <v/>
      </c>
      <c r="R76" s="10" t="str">
        <f>IFERROR(IT_Dienstleistungen[[#This Row],[Wert 
(Zahl)]]*IT_Dienstleistungen[[#This Row],[EF Scope 1 CO2e
(kg CO2e/Einheit)]],"")</f>
        <v/>
      </c>
      <c r="S76" s="10" t="str">
        <f>IFERROR(IT_Dienstleistungen[[#This Row],[Wert 
(Zahl)]]*IT_Dienstleistungen[[#This Row],[EF Scope 2 CO2e
(kg CO2e/Einheit)]],"")</f>
        <v/>
      </c>
      <c r="T76" s="10" t="str">
        <f>IFERROR(IT_Dienstleistungen[[#This Row],[Wert 
(Zahl)]]*IT_Dienstleistungen[[#This Row],[EF Scope 3 CO2e
(kg CO2e/Einheit)]],"")</f>
        <v/>
      </c>
    </row>
    <row r="77" spans="1:23" s="86" customFormat="1" x14ac:dyDescent="0.35">
      <c r="B77" s="621"/>
      <c r="C77" s="1" t="str">
        <f t="shared" si="2"/>
        <v>IT_Dienstleistungen</v>
      </c>
      <c r="D77" s="90"/>
      <c r="E77" s="90"/>
      <c r="F77" s="288"/>
      <c r="G77" s="10" t="str">
        <f>IFERROR(VLOOKUP(IT_Dienstleistungen[[#This Row],[Thema_Bezeichung]],EFs_IT[],4,FALSE),"")</f>
        <v/>
      </c>
      <c r="H77" s="90"/>
      <c r="I77" s="90"/>
      <c r="J77" s="90"/>
      <c r="K77" s="284" t="str">
        <f>IF(ISBLANK(IT_Dienstleistungen[[#This Row],[Wert 
(Zahl)]]),"",SUM(IT_Dienstleistungen[[#This Row],[Scope 1 CO2e '[kg CO2e']]:[Scope 3 CO2e '[kg CO2e']]]))</f>
        <v/>
      </c>
      <c r="L77" s="408"/>
      <c r="M77" s="408"/>
      <c r="N77" s="15" t="str">
        <f>IF(ISBLANK(IT_Dienstleistungen[[#This Row],[Emissionsquelle/Aktivität (Dropdown)]]),"",CONCATENATE(IT_Dienstleistungen[[#This Row],[Sektor_Thema]]," - ",IT_Dienstleistungen[[#This Row],[Emissionsquelle/Aktivität (Dropdown)]]))</f>
        <v/>
      </c>
      <c r="O77" s="10" t="str">
        <f>IFERROR(VLOOKUP(IT_Dienstleistungen[[#This Row],[Thema_Bezeichung]],EFs_IT[],5,FALSE),"")</f>
        <v/>
      </c>
      <c r="P77" s="10" t="str">
        <f>IFERROR(VLOOKUP(IT_Dienstleistungen[[#This Row],[Thema_Bezeichung]],EFs_IT[],6,FALSE),"")</f>
        <v/>
      </c>
      <c r="Q77" s="10" t="str">
        <f>IFERROR(VLOOKUP(IT_Dienstleistungen[[#This Row],[Thema_Bezeichung]],EFs_IT[],7,FALSE),"")</f>
        <v/>
      </c>
      <c r="R77" s="10" t="str">
        <f>IFERROR(IT_Dienstleistungen[[#This Row],[Wert 
(Zahl)]]*IT_Dienstleistungen[[#This Row],[EF Scope 1 CO2e
(kg CO2e/Einheit)]],"")</f>
        <v/>
      </c>
      <c r="S77" s="10" t="str">
        <f>IFERROR(IT_Dienstleistungen[[#This Row],[Wert 
(Zahl)]]*IT_Dienstleistungen[[#This Row],[EF Scope 2 CO2e
(kg CO2e/Einheit)]],"")</f>
        <v/>
      </c>
      <c r="T77" s="10" t="str">
        <f>IFERROR(IT_Dienstleistungen[[#This Row],[Wert 
(Zahl)]]*IT_Dienstleistungen[[#This Row],[EF Scope 3 CO2e
(kg CO2e/Einheit)]],"")</f>
        <v/>
      </c>
    </row>
    <row r="78" spans="1:23" s="86" customFormat="1" x14ac:dyDescent="0.35">
      <c r="B78" s="621"/>
      <c r="C78" s="1" t="str">
        <f t="shared" si="2"/>
        <v>IT_Dienstleistungen</v>
      </c>
      <c r="D78" s="90"/>
      <c r="E78" s="90"/>
      <c r="F78" s="288"/>
      <c r="G78" s="10" t="str">
        <f>IFERROR(VLOOKUP(IT_Dienstleistungen[[#This Row],[Thema_Bezeichung]],EFs_IT[],4,FALSE),"")</f>
        <v/>
      </c>
      <c r="H78" s="90"/>
      <c r="I78" s="90"/>
      <c r="J78" s="90"/>
      <c r="K78" s="284" t="str">
        <f>IF(ISBLANK(IT_Dienstleistungen[[#This Row],[Wert 
(Zahl)]]),"",SUM(IT_Dienstleistungen[[#This Row],[Scope 1 CO2e '[kg CO2e']]:[Scope 3 CO2e '[kg CO2e']]]))</f>
        <v/>
      </c>
      <c r="L78" s="408"/>
      <c r="M78" s="408"/>
      <c r="N78" s="15" t="str">
        <f>IF(ISBLANK(IT_Dienstleistungen[[#This Row],[Emissionsquelle/Aktivität (Dropdown)]]),"",CONCATENATE(IT_Dienstleistungen[[#This Row],[Sektor_Thema]]," - ",IT_Dienstleistungen[[#This Row],[Emissionsquelle/Aktivität (Dropdown)]]))</f>
        <v/>
      </c>
      <c r="O78" s="10" t="str">
        <f>IFERROR(VLOOKUP(IT_Dienstleistungen[[#This Row],[Thema_Bezeichung]],EFs_IT[],5,FALSE),"")</f>
        <v/>
      </c>
      <c r="P78" s="10" t="str">
        <f>IFERROR(VLOOKUP(IT_Dienstleistungen[[#This Row],[Thema_Bezeichung]],EFs_IT[],6,FALSE),"")</f>
        <v/>
      </c>
      <c r="Q78" s="10" t="str">
        <f>IFERROR(VLOOKUP(IT_Dienstleistungen[[#This Row],[Thema_Bezeichung]],EFs_IT[],7,FALSE),"")</f>
        <v/>
      </c>
      <c r="R78" s="10" t="str">
        <f>IFERROR(IT_Dienstleistungen[[#This Row],[Wert 
(Zahl)]]*IT_Dienstleistungen[[#This Row],[EF Scope 1 CO2e
(kg CO2e/Einheit)]],"")</f>
        <v/>
      </c>
      <c r="S78" s="10" t="str">
        <f>IFERROR(IT_Dienstleistungen[[#This Row],[Wert 
(Zahl)]]*IT_Dienstleistungen[[#This Row],[EF Scope 2 CO2e
(kg CO2e/Einheit)]],"")</f>
        <v/>
      </c>
      <c r="T78" s="10" t="str">
        <f>IFERROR(IT_Dienstleistungen[[#This Row],[Wert 
(Zahl)]]*IT_Dienstleistungen[[#This Row],[EF Scope 3 CO2e
(kg CO2e/Einheit)]],"")</f>
        <v/>
      </c>
    </row>
    <row r="79" spans="1:23" s="86" customFormat="1" x14ac:dyDescent="0.35">
      <c r="B79" s="621"/>
      <c r="C79" s="1" t="str">
        <f t="shared" si="2"/>
        <v>IT_Dienstleistungen</v>
      </c>
      <c r="D79" s="90"/>
      <c r="E79" s="90"/>
      <c r="F79" s="288"/>
      <c r="G79" s="10" t="str">
        <f>IFERROR(VLOOKUP(IT_Dienstleistungen[[#This Row],[Thema_Bezeichung]],EFs_IT[],4,FALSE),"")</f>
        <v/>
      </c>
      <c r="H79" s="90"/>
      <c r="I79" s="90"/>
      <c r="J79" s="90"/>
      <c r="K79" s="284" t="str">
        <f>IF(ISBLANK(IT_Dienstleistungen[[#This Row],[Wert 
(Zahl)]]),"",SUM(IT_Dienstleistungen[[#This Row],[Scope 1 CO2e '[kg CO2e']]:[Scope 3 CO2e '[kg CO2e']]]))</f>
        <v/>
      </c>
      <c r="L79" s="408"/>
      <c r="M79" s="408"/>
      <c r="N79" s="15" t="str">
        <f>IF(ISBLANK(IT_Dienstleistungen[[#This Row],[Emissionsquelle/Aktivität (Dropdown)]]),"",CONCATENATE(IT_Dienstleistungen[[#This Row],[Sektor_Thema]]," - ",IT_Dienstleistungen[[#This Row],[Emissionsquelle/Aktivität (Dropdown)]]))</f>
        <v/>
      </c>
      <c r="O79" s="10" t="str">
        <f>IFERROR(VLOOKUP(IT_Dienstleistungen[[#This Row],[Thema_Bezeichung]],EFs_IT[],5,FALSE),"")</f>
        <v/>
      </c>
      <c r="P79" s="10" t="str">
        <f>IFERROR(VLOOKUP(IT_Dienstleistungen[[#This Row],[Thema_Bezeichung]],EFs_IT[],6,FALSE),"")</f>
        <v/>
      </c>
      <c r="Q79" s="10" t="str">
        <f>IFERROR(VLOOKUP(IT_Dienstleistungen[[#This Row],[Thema_Bezeichung]],EFs_IT[],7,FALSE),"")</f>
        <v/>
      </c>
      <c r="R79" s="10" t="str">
        <f>IFERROR(IT_Dienstleistungen[[#This Row],[Wert 
(Zahl)]]*IT_Dienstleistungen[[#This Row],[EF Scope 1 CO2e
(kg CO2e/Einheit)]],"")</f>
        <v/>
      </c>
      <c r="S79" s="10" t="str">
        <f>IFERROR(IT_Dienstleistungen[[#This Row],[Wert 
(Zahl)]]*IT_Dienstleistungen[[#This Row],[EF Scope 2 CO2e
(kg CO2e/Einheit)]],"")</f>
        <v/>
      </c>
      <c r="T79" s="10" t="str">
        <f>IFERROR(IT_Dienstleistungen[[#This Row],[Wert 
(Zahl)]]*IT_Dienstleistungen[[#This Row],[EF Scope 3 CO2e
(kg CO2e/Einheit)]],"")</f>
        <v/>
      </c>
    </row>
    <row r="80" spans="1:23" s="86" customFormat="1" x14ac:dyDescent="0.35">
      <c r="B80" s="621"/>
      <c r="C80" s="1" t="str">
        <f t="shared" si="2"/>
        <v>IT_Dienstleistungen</v>
      </c>
      <c r="D80" s="90"/>
      <c r="E80" s="90"/>
      <c r="F80" s="288"/>
      <c r="G80" s="10" t="str">
        <f>IFERROR(VLOOKUP(IT_Dienstleistungen[[#This Row],[Thema_Bezeichung]],EFs_IT[],4,FALSE),"")</f>
        <v/>
      </c>
      <c r="H80" s="90"/>
      <c r="I80" s="90"/>
      <c r="J80" s="90"/>
      <c r="K80" s="284" t="str">
        <f>IF(ISBLANK(IT_Dienstleistungen[[#This Row],[Wert 
(Zahl)]]),"",SUM(IT_Dienstleistungen[[#This Row],[Scope 1 CO2e '[kg CO2e']]:[Scope 3 CO2e '[kg CO2e']]]))</f>
        <v/>
      </c>
      <c r="L80" s="408"/>
      <c r="M80" s="408"/>
      <c r="N80" s="15" t="str">
        <f>IF(ISBLANK(IT_Dienstleistungen[[#This Row],[Emissionsquelle/Aktivität (Dropdown)]]),"",CONCATENATE(IT_Dienstleistungen[[#This Row],[Sektor_Thema]]," - ",IT_Dienstleistungen[[#This Row],[Emissionsquelle/Aktivität (Dropdown)]]))</f>
        <v/>
      </c>
      <c r="O80" s="10" t="str">
        <f>IFERROR(VLOOKUP(IT_Dienstleistungen[[#This Row],[Thema_Bezeichung]],EFs_IT[],5,FALSE),"")</f>
        <v/>
      </c>
      <c r="P80" s="10" t="str">
        <f>IFERROR(VLOOKUP(IT_Dienstleistungen[[#This Row],[Thema_Bezeichung]],EFs_IT[],6,FALSE),"")</f>
        <v/>
      </c>
      <c r="Q80" s="10" t="str">
        <f>IFERROR(VLOOKUP(IT_Dienstleistungen[[#This Row],[Thema_Bezeichung]],EFs_IT[],7,FALSE),"")</f>
        <v/>
      </c>
      <c r="R80" s="10" t="str">
        <f>IFERROR(IT_Dienstleistungen[[#This Row],[Wert 
(Zahl)]]*IT_Dienstleistungen[[#This Row],[EF Scope 1 CO2e
(kg CO2e/Einheit)]],"")</f>
        <v/>
      </c>
      <c r="S80" s="10" t="str">
        <f>IFERROR(IT_Dienstleistungen[[#This Row],[Wert 
(Zahl)]]*IT_Dienstleistungen[[#This Row],[EF Scope 2 CO2e
(kg CO2e/Einheit)]],"")</f>
        <v/>
      </c>
      <c r="T80" s="10" t="str">
        <f>IFERROR(IT_Dienstleistungen[[#This Row],[Wert 
(Zahl)]]*IT_Dienstleistungen[[#This Row],[EF Scope 3 CO2e
(kg CO2e/Einheit)]],"")</f>
        <v/>
      </c>
    </row>
    <row r="81" spans="2:20" s="86" customFormat="1" x14ac:dyDescent="0.35">
      <c r="B81" s="621"/>
      <c r="C81" s="1" t="str">
        <f t="shared" si="2"/>
        <v>IT_Dienstleistungen</v>
      </c>
      <c r="D81" s="90"/>
      <c r="E81" s="90"/>
      <c r="F81" s="288"/>
      <c r="G81" s="10" t="str">
        <f>IFERROR(VLOOKUP(IT_Dienstleistungen[[#This Row],[Thema_Bezeichung]],EFs_IT[],4,FALSE),"")</f>
        <v/>
      </c>
      <c r="H81" s="90"/>
      <c r="I81" s="90"/>
      <c r="J81" s="90"/>
      <c r="K81" s="284" t="str">
        <f>IF(ISBLANK(IT_Dienstleistungen[[#This Row],[Wert 
(Zahl)]]),"",SUM(IT_Dienstleistungen[[#This Row],[Scope 1 CO2e '[kg CO2e']]:[Scope 3 CO2e '[kg CO2e']]]))</f>
        <v/>
      </c>
      <c r="L81" s="408"/>
      <c r="M81" s="408"/>
      <c r="N81" s="15" t="str">
        <f>IF(ISBLANK(IT_Dienstleistungen[[#This Row],[Emissionsquelle/Aktivität (Dropdown)]]),"",CONCATENATE(IT_Dienstleistungen[[#This Row],[Sektor_Thema]]," - ",IT_Dienstleistungen[[#This Row],[Emissionsquelle/Aktivität (Dropdown)]]))</f>
        <v/>
      </c>
      <c r="O81" s="10" t="str">
        <f>IFERROR(VLOOKUP(IT_Dienstleistungen[[#This Row],[Thema_Bezeichung]],EFs_IT[],5,FALSE),"")</f>
        <v/>
      </c>
      <c r="P81" s="10" t="str">
        <f>IFERROR(VLOOKUP(IT_Dienstleistungen[[#This Row],[Thema_Bezeichung]],EFs_IT[],6,FALSE),"")</f>
        <v/>
      </c>
      <c r="Q81" s="10" t="str">
        <f>IFERROR(VLOOKUP(IT_Dienstleistungen[[#This Row],[Thema_Bezeichung]],EFs_IT[],7,FALSE),"")</f>
        <v/>
      </c>
      <c r="R81" s="10" t="str">
        <f>IFERROR(IT_Dienstleistungen[[#This Row],[Wert 
(Zahl)]]*IT_Dienstleistungen[[#This Row],[EF Scope 1 CO2e
(kg CO2e/Einheit)]],"")</f>
        <v/>
      </c>
      <c r="S81" s="10" t="str">
        <f>IFERROR(IT_Dienstleistungen[[#This Row],[Wert 
(Zahl)]]*IT_Dienstleistungen[[#This Row],[EF Scope 2 CO2e
(kg CO2e/Einheit)]],"")</f>
        <v/>
      </c>
      <c r="T81" s="10" t="str">
        <f>IFERROR(IT_Dienstleistungen[[#This Row],[Wert 
(Zahl)]]*IT_Dienstleistungen[[#This Row],[EF Scope 3 CO2e
(kg CO2e/Einheit)]],"")</f>
        <v/>
      </c>
    </row>
    <row r="82" spans="2:20" s="86" customFormat="1" x14ac:dyDescent="0.35">
      <c r="B82" s="621"/>
      <c r="C82" s="1" t="str">
        <f t="shared" si="2"/>
        <v>IT_Dienstleistungen</v>
      </c>
      <c r="D82" s="90"/>
      <c r="E82" s="90"/>
      <c r="F82" s="288"/>
      <c r="G82" s="10" t="str">
        <f>IFERROR(VLOOKUP(IT_Dienstleistungen[[#This Row],[Thema_Bezeichung]],EFs_IT[],4,FALSE),"")</f>
        <v/>
      </c>
      <c r="H82" s="90"/>
      <c r="I82" s="90"/>
      <c r="J82" s="90"/>
      <c r="K82" s="284" t="str">
        <f>IF(ISBLANK(IT_Dienstleistungen[[#This Row],[Wert 
(Zahl)]]),"",SUM(IT_Dienstleistungen[[#This Row],[Scope 1 CO2e '[kg CO2e']]:[Scope 3 CO2e '[kg CO2e']]]))</f>
        <v/>
      </c>
      <c r="L82" s="408"/>
      <c r="M82" s="408"/>
      <c r="N82" s="15" t="str">
        <f>IF(ISBLANK(IT_Dienstleistungen[[#This Row],[Emissionsquelle/Aktivität (Dropdown)]]),"",CONCATENATE(IT_Dienstleistungen[[#This Row],[Sektor_Thema]]," - ",IT_Dienstleistungen[[#This Row],[Emissionsquelle/Aktivität (Dropdown)]]))</f>
        <v/>
      </c>
      <c r="O82" s="10" t="str">
        <f>IFERROR(VLOOKUP(IT_Dienstleistungen[[#This Row],[Thema_Bezeichung]],EFs_IT[],5,FALSE),"")</f>
        <v/>
      </c>
      <c r="P82" s="10" t="str">
        <f>IFERROR(VLOOKUP(IT_Dienstleistungen[[#This Row],[Thema_Bezeichung]],EFs_IT[],6,FALSE),"")</f>
        <v/>
      </c>
      <c r="Q82" s="10" t="str">
        <f>IFERROR(VLOOKUP(IT_Dienstleistungen[[#This Row],[Thema_Bezeichung]],EFs_IT[],7,FALSE),"")</f>
        <v/>
      </c>
      <c r="R82" s="10" t="str">
        <f>IFERROR(IT_Dienstleistungen[[#This Row],[Wert 
(Zahl)]]*IT_Dienstleistungen[[#This Row],[EF Scope 1 CO2e
(kg CO2e/Einheit)]],"")</f>
        <v/>
      </c>
      <c r="S82" s="10" t="str">
        <f>IFERROR(IT_Dienstleistungen[[#This Row],[Wert 
(Zahl)]]*IT_Dienstleistungen[[#This Row],[EF Scope 2 CO2e
(kg CO2e/Einheit)]],"")</f>
        <v/>
      </c>
      <c r="T82" s="10" t="str">
        <f>IFERROR(IT_Dienstleistungen[[#This Row],[Wert 
(Zahl)]]*IT_Dienstleistungen[[#This Row],[EF Scope 3 CO2e
(kg CO2e/Einheit)]],"")</f>
        <v/>
      </c>
    </row>
    <row r="83" spans="2:20" s="86" customFormat="1" x14ac:dyDescent="0.35">
      <c r="B83" s="621"/>
      <c r="C83" s="1" t="str">
        <f t="shared" si="2"/>
        <v>IT_Dienstleistungen</v>
      </c>
      <c r="D83" s="90"/>
      <c r="E83" s="90"/>
      <c r="F83" s="288"/>
      <c r="G83" s="10" t="str">
        <f>IFERROR(VLOOKUP(IT_Dienstleistungen[[#This Row],[Thema_Bezeichung]],EFs_IT[],4,FALSE),"")</f>
        <v/>
      </c>
      <c r="H83" s="90"/>
      <c r="I83" s="90"/>
      <c r="J83" s="90"/>
      <c r="K83" s="284" t="str">
        <f>IF(ISBLANK(IT_Dienstleistungen[[#This Row],[Wert 
(Zahl)]]),"",SUM(IT_Dienstleistungen[[#This Row],[Scope 1 CO2e '[kg CO2e']]:[Scope 3 CO2e '[kg CO2e']]]))</f>
        <v/>
      </c>
      <c r="L83" s="408"/>
      <c r="M83" s="408"/>
      <c r="N83" s="15" t="str">
        <f>IF(ISBLANK(IT_Dienstleistungen[[#This Row],[Emissionsquelle/Aktivität (Dropdown)]]),"",CONCATENATE(IT_Dienstleistungen[[#This Row],[Sektor_Thema]]," - ",IT_Dienstleistungen[[#This Row],[Emissionsquelle/Aktivität (Dropdown)]]))</f>
        <v/>
      </c>
      <c r="O83" s="10" t="str">
        <f>IFERROR(VLOOKUP(IT_Dienstleistungen[[#This Row],[Thema_Bezeichung]],EFs_IT[],5,FALSE),"")</f>
        <v/>
      </c>
      <c r="P83" s="10" t="str">
        <f>IFERROR(VLOOKUP(IT_Dienstleistungen[[#This Row],[Thema_Bezeichung]],EFs_IT[],6,FALSE),"")</f>
        <v/>
      </c>
      <c r="Q83" s="10" t="str">
        <f>IFERROR(VLOOKUP(IT_Dienstleistungen[[#This Row],[Thema_Bezeichung]],EFs_IT[],7,FALSE),"")</f>
        <v/>
      </c>
      <c r="R83" s="10" t="str">
        <f>IFERROR(IT_Dienstleistungen[[#This Row],[Wert 
(Zahl)]]*IT_Dienstleistungen[[#This Row],[EF Scope 1 CO2e
(kg CO2e/Einheit)]],"")</f>
        <v/>
      </c>
      <c r="S83" s="10" t="str">
        <f>IFERROR(IT_Dienstleistungen[[#This Row],[Wert 
(Zahl)]]*IT_Dienstleistungen[[#This Row],[EF Scope 2 CO2e
(kg CO2e/Einheit)]],"")</f>
        <v/>
      </c>
      <c r="T83" s="10" t="str">
        <f>IFERROR(IT_Dienstleistungen[[#This Row],[Wert 
(Zahl)]]*IT_Dienstleistungen[[#This Row],[EF Scope 3 CO2e
(kg CO2e/Einheit)]],"")</f>
        <v/>
      </c>
    </row>
    <row r="84" spans="2:20" s="86" customFormat="1" x14ac:dyDescent="0.35">
      <c r="B84" s="621"/>
      <c r="C84" s="1" t="str">
        <f t="shared" si="2"/>
        <v>IT_Dienstleistungen</v>
      </c>
      <c r="D84" s="90"/>
      <c r="E84" s="90"/>
      <c r="F84" s="288"/>
      <c r="G84" s="10" t="str">
        <f>IFERROR(VLOOKUP(IT_Dienstleistungen[[#This Row],[Thema_Bezeichung]],EFs_IT[],4,FALSE),"")</f>
        <v/>
      </c>
      <c r="H84" s="90"/>
      <c r="I84" s="90"/>
      <c r="J84" s="90"/>
      <c r="K84" s="284" t="str">
        <f>IF(ISBLANK(IT_Dienstleistungen[[#This Row],[Wert 
(Zahl)]]),"",SUM(IT_Dienstleistungen[[#This Row],[Scope 1 CO2e '[kg CO2e']]:[Scope 3 CO2e '[kg CO2e']]]))</f>
        <v/>
      </c>
      <c r="L84" s="408"/>
      <c r="M84" s="408"/>
      <c r="N84" s="15" t="str">
        <f>IF(ISBLANK(IT_Dienstleistungen[[#This Row],[Emissionsquelle/Aktivität (Dropdown)]]),"",CONCATENATE(IT_Dienstleistungen[[#This Row],[Sektor_Thema]]," - ",IT_Dienstleistungen[[#This Row],[Emissionsquelle/Aktivität (Dropdown)]]))</f>
        <v/>
      </c>
      <c r="O84" s="10" t="str">
        <f>IFERROR(VLOOKUP(IT_Dienstleistungen[[#This Row],[Thema_Bezeichung]],EFs_IT[],5,FALSE),"")</f>
        <v/>
      </c>
      <c r="P84" s="10" t="str">
        <f>IFERROR(VLOOKUP(IT_Dienstleistungen[[#This Row],[Thema_Bezeichung]],EFs_IT[],6,FALSE),"")</f>
        <v/>
      </c>
      <c r="Q84" s="10" t="str">
        <f>IFERROR(VLOOKUP(IT_Dienstleistungen[[#This Row],[Thema_Bezeichung]],EFs_IT[],7,FALSE),"")</f>
        <v/>
      </c>
      <c r="R84" s="10" t="str">
        <f>IFERROR(IT_Dienstleistungen[[#This Row],[Wert 
(Zahl)]]*IT_Dienstleistungen[[#This Row],[EF Scope 1 CO2e
(kg CO2e/Einheit)]],"")</f>
        <v/>
      </c>
      <c r="S84" s="10" t="str">
        <f>IFERROR(IT_Dienstleistungen[[#This Row],[Wert 
(Zahl)]]*IT_Dienstleistungen[[#This Row],[EF Scope 2 CO2e
(kg CO2e/Einheit)]],"")</f>
        <v/>
      </c>
      <c r="T84" s="10" t="str">
        <f>IFERROR(IT_Dienstleistungen[[#This Row],[Wert 
(Zahl)]]*IT_Dienstleistungen[[#This Row],[EF Scope 3 CO2e
(kg CO2e/Einheit)]],"")</f>
        <v/>
      </c>
    </row>
    <row r="85" spans="2:20" s="86" customFormat="1" x14ac:dyDescent="0.35">
      <c r="B85" s="621"/>
      <c r="C85" s="1" t="str">
        <f t="shared" si="2"/>
        <v>IT_Dienstleistungen</v>
      </c>
      <c r="D85" s="90"/>
      <c r="E85" s="90"/>
      <c r="F85" s="288"/>
      <c r="G85" s="10" t="str">
        <f>IFERROR(VLOOKUP(IT_Dienstleistungen[[#This Row],[Thema_Bezeichung]],EFs_IT[],4,FALSE),"")</f>
        <v/>
      </c>
      <c r="H85" s="90"/>
      <c r="I85" s="90"/>
      <c r="J85" s="90"/>
      <c r="K85" s="284" t="str">
        <f>IF(ISBLANK(IT_Dienstleistungen[[#This Row],[Wert 
(Zahl)]]),"",SUM(IT_Dienstleistungen[[#This Row],[Scope 1 CO2e '[kg CO2e']]:[Scope 3 CO2e '[kg CO2e']]]))</f>
        <v/>
      </c>
      <c r="L85" s="408"/>
      <c r="M85" s="408"/>
      <c r="N85" s="15" t="str">
        <f>IF(ISBLANK(IT_Dienstleistungen[[#This Row],[Emissionsquelle/Aktivität (Dropdown)]]),"",CONCATENATE(IT_Dienstleistungen[[#This Row],[Sektor_Thema]]," - ",IT_Dienstleistungen[[#This Row],[Emissionsquelle/Aktivität (Dropdown)]]))</f>
        <v/>
      </c>
      <c r="O85" s="10" t="str">
        <f>IFERROR(VLOOKUP(IT_Dienstleistungen[[#This Row],[Thema_Bezeichung]],EFs_IT[],5,FALSE),"")</f>
        <v/>
      </c>
      <c r="P85" s="10" t="str">
        <f>IFERROR(VLOOKUP(IT_Dienstleistungen[[#This Row],[Thema_Bezeichung]],EFs_IT[],6,FALSE),"")</f>
        <v/>
      </c>
      <c r="Q85" s="10" t="str">
        <f>IFERROR(VLOOKUP(IT_Dienstleistungen[[#This Row],[Thema_Bezeichung]],EFs_IT[],7,FALSE),"")</f>
        <v/>
      </c>
      <c r="R85" s="10" t="str">
        <f>IFERROR(IT_Dienstleistungen[[#This Row],[Wert 
(Zahl)]]*IT_Dienstleistungen[[#This Row],[EF Scope 1 CO2e
(kg CO2e/Einheit)]],"")</f>
        <v/>
      </c>
      <c r="S85" s="10" t="str">
        <f>IFERROR(IT_Dienstleistungen[[#This Row],[Wert 
(Zahl)]]*IT_Dienstleistungen[[#This Row],[EF Scope 2 CO2e
(kg CO2e/Einheit)]],"")</f>
        <v/>
      </c>
      <c r="T85" s="10" t="str">
        <f>IFERROR(IT_Dienstleistungen[[#This Row],[Wert 
(Zahl)]]*IT_Dienstleistungen[[#This Row],[EF Scope 3 CO2e
(kg CO2e/Einheit)]],"")</f>
        <v/>
      </c>
    </row>
    <row r="86" spans="2:20" s="86" customFormat="1" x14ac:dyDescent="0.35">
      <c r="B86" s="621"/>
      <c r="C86" s="1" t="str">
        <f t="shared" si="2"/>
        <v>IT_Dienstleistungen</v>
      </c>
      <c r="D86" s="90"/>
      <c r="E86" s="90"/>
      <c r="F86" s="288"/>
      <c r="G86" s="10" t="str">
        <f>IFERROR(VLOOKUP(IT_Dienstleistungen[[#This Row],[Thema_Bezeichung]],EFs_IT[],4,FALSE),"")</f>
        <v/>
      </c>
      <c r="H86" s="90"/>
      <c r="I86" s="90"/>
      <c r="J86" s="90"/>
      <c r="K86" s="284" t="str">
        <f>IF(ISBLANK(IT_Dienstleistungen[[#This Row],[Wert 
(Zahl)]]),"",SUM(IT_Dienstleistungen[[#This Row],[Scope 1 CO2e '[kg CO2e']]:[Scope 3 CO2e '[kg CO2e']]]))</f>
        <v/>
      </c>
      <c r="L86" s="408"/>
      <c r="M86" s="408"/>
      <c r="N86" s="15" t="str">
        <f>IF(ISBLANK(IT_Dienstleistungen[[#This Row],[Emissionsquelle/Aktivität (Dropdown)]]),"",CONCATENATE(IT_Dienstleistungen[[#This Row],[Sektor_Thema]]," - ",IT_Dienstleistungen[[#This Row],[Emissionsquelle/Aktivität (Dropdown)]]))</f>
        <v/>
      </c>
      <c r="O86" s="10" t="str">
        <f>IFERROR(VLOOKUP(IT_Dienstleistungen[[#This Row],[Thema_Bezeichung]],EFs_IT[],5,FALSE),"")</f>
        <v/>
      </c>
      <c r="P86" s="10" t="str">
        <f>IFERROR(VLOOKUP(IT_Dienstleistungen[[#This Row],[Thema_Bezeichung]],EFs_IT[],6,FALSE),"")</f>
        <v/>
      </c>
      <c r="Q86" s="10" t="str">
        <f>IFERROR(VLOOKUP(IT_Dienstleistungen[[#This Row],[Thema_Bezeichung]],EFs_IT[],7,FALSE),"")</f>
        <v/>
      </c>
      <c r="R86" s="10" t="str">
        <f>IFERROR(IT_Dienstleistungen[[#This Row],[Wert 
(Zahl)]]*IT_Dienstleistungen[[#This Row],[EF Scope 1 CO2e
(kg CO2e/Einheit)]],"")</f>
        <v/>
      </c>
      <c r="S86" s="10" t="str">
        <f>IFERROR(IT_Dienstleistungen[[#This Row],[Wert 
(Zahl)]]*IT_Dienstleistungen[[#This Row],[EF Scope 2 CO2e
(kg CO2e/Einheit)]],"")</f>
        <v/>
      </c>
      <c r="T86" s="10" t="str">
        <f>IFERROR(IT_Dienstleistungen[[#This Row],[Wert 
(Zahl)]]*IT_Dienstleistungen[[#This Row],[EF Scope 3 CO2e
(kg CO2e/Einheit)]],"")</f>
        <v/>
      </c>
    </row>
    <row r="87" spans="2:20" s="86" customFormat="1" x14ac:dyDescent="0.35">
      <c r="B87" s="621"/>
      <c r="C87" s="1" t="str">
        <f t="shared" si="2"/>
        <v>IT_Dienstleistungen</v>
      </c>
      <c r="D87" s="90"/>
      <c r="E87" s="90"/>
      <c r="F87" s="288"/>
      <c r="G87" s="10" t="str">
        <f>IFERROR(VLOOKUP(IT_Dienstleistungen[[#This Row],[Thema_Bezeichung]],EFs_IT[],4,FALSE),"")</f>
        <v/>
      </c>
      <c r="H87" s="90"/>
      <c r="I87" s="90"/>
      <c r="J87" s="90"/>
      <c r="K87" s="284" t="str">
        <f>IF(ISBLANK(IT_Dienstleistungen[[#This Row],[Wert 
(Zahl)]]),"",SUM(IT_Dienstleistungen[[#This Row],[Scope 1 CO2e '[kg CO2e']]:[Scope 3 CO2e '[kg CO2e']]]))</f>
        <v/>
      </c>
      <c r="L87" s="408"/>
      <c r="M87" s="408"/>
      <c r="N87" s="15" t="str">
        <f>IF(ISBLANK(IT_Dienstleistungen[[#This Row],[Emissionsquelle/Aktivität (Dropdown)]]),"",CONCATENATE(IT_Dienstleistungen[[#This Row],[Sektor_Thema]]," - ",IT_Dienstleistungen[[#This Row],[Emissionsquelle/Aktivität (Dropdown)]]))</f>
        <v/>
      </c>
      <c r="O87" s="10" t="str">
        <f>IFERROR(VLOOKUP(IT_Dienstleistungen[[#This Row],[Thema_Bezeichung]],EFs_IT[],5,FALSE),"")</f>
        <v/>
      </c>
      <c r="P87" s="10" t="str">
        <f>IFERROR(VLOOKUP(IT_Dienstleistungen[[#This Row],[Thema_Bezeichung]],EFs_IT[],6,FALSE),"")</f>
        <v/>
      </c>
      <c r="Q87" s="10" t="str">
        <f>IFERROR(VLOOKUP(IT_Dienstleistungen[[#This Row],[Thema_Bezeichung]],EFs_IT[],7,FALSE),"")</f>
        <v/>
      </c>
      <c r="R87" s="10" t="str">
        <f>IFERROR(IT_Dienstleistungen[[#This Row],[Wert 
(Zahl)]]*IT_Dienstleistungen[[#This Row],[EF Scope 1 CO2e
(kg CO2e/Einheit)]],"")</f>
        <v/>
      </c>
      <c r="S87" s="10" t="str">
        <f>IFERROR(IT_Dienstleistungen[[#This Row],[Wert 
(Zahl)]]*IT_Dienstleistungen[[#This Row],[EF Scope 2 CO2e
(kg CO2e/Einheit)]],"")</f>
        <v/>
      </c>
      <c r="T87" s="10" t="str">
        <f>IFERROR(IT_Dienstleistungen[[#This Row],[Wert 
(Zahl)]]*IT_Dienstleistungen[[#This Row],[EF Scope 3 CO2e
(kg CO2e/Einheit)]],"")</f>
        <v/>
      </c>
    </row>
    <row r="88" spans="2:20" s="86" customFormat="1" x14ac:dyDescent="0.35">
      <c r="B88" s="621"/>
      <c r="C88" s="1" t="str">
        <f t="shared" si="2"/>
        <v>IT_Dienstleistungen</v>
      </c>
      <c r="D88" s="90"/>
      <c r="E88" s="90"/>
      <c r="F88" s="288"/>
      <c r="G88" s="10" t="str">
        <f>IFERROR(VLOOKUP(IT_Dienstleistungen[[#This Row],[Thema_Bezeichung]],EFs_IT[],4,FALSE),"")</f>
        <v/>
      </c>
      <c r="H88" s="90"/>
      <c r="I88" s="90"/>
      <c r="J88" s="90"/>
      <c r="K88" s="284" t="str">
        <f>IF(ISBLANK(IT_Dienstleistungen[[#This Row],[Wert 
(Zahl)]]),"",SUM(IT_Dienstleistungen[[#This Row],[Scope 1 CO2e '[kg CO2e']]:[Scope 3 CO2e '[kg CO2e']]]))</f>
        <v/>
      </c>
      <c r="L88" s="408"/>
      <c r="M88" s="408"/>
      <c r="N88" s="15" t="str">
        <f>IF(ISBLANK(IT_Dienstleistungen[[#This Row],[Emissionsquelle/Aktivität (Dropdown)]]),"",CONCATENATE(IT_Dienstleistungen[[#This Row],[Sektor_Thema]]," - ",IT_Dienstleistungen[[#This Row],[Emissionsquelle/Aktivität (Dropdown)]]))</f>
        <v/>
      </c>
      <c r="O88" s="10" t="str">
        <f>IFERROR(VLOOKUP(IT_Dienstleistungen[[#This Row],[Thema_Bezeichung]],EFs_IT[],5,FALSE),"")</f>
        <v/>
      </c>
      <c r="P88" s="10" t="str">
        <f>IFERROR(VLOOKUP(IT_Dienstleistungen[[#This Row],[Thema_Bezeichung]],EFs_IT[],6,FALSE),"")</f>
        <v/>
      </c>
      <c r="Q88" s="10" t="str">
        <f>IFERROR(VLOOKUP(IT_Dienstleistungen[[#This Row],[Thema_Bezeichung]],EFs_IT[],7,FALSE),"")</f>
        <v/>
      </c>
      <c r="R88" s="10" t="str">
        <f>IFERROR(IT_Dienstleistungen[[#This Row],[Wert 
(Zahl)]]*IT_Dienstleistungen[[#This Row],[EF Scope 1 CO2e
(kg CO2e/Einheit)]],"")</f>
        <v/>
      </c>
      <c r="S88" s="10" t="str">
        <f>IFERROR(IT_Dienstleistungen[[#This Row],[Wert 
(Zahl)]]*IT_Dienstleistungen[[#This Row],[EF Scope 2 CO2e
(kg CO2e/Einheit)]],"")</f>
        <v/>
      </c>
      <c r="T88" s="10" t="str">
        <f>IFERROR(IT_Dienstleistungen[[#This Row],[Wert 
(Zahl)]]*IT_Dienstleistungen[[#This Row],[EF Scope 3 CO2e
(kg CO2e/Einheit)]],"")</f>
        <v/>
      </c>
    </row>
    <row r="89" spans="2:20" s="86" customFormat="1" x14ac:dyDescent="0.35">
      <c r="B89" s="621"/>
      <c r="C89" s="1" t="str">
        <f t="shared" si="2"/>
        <v>IT_Dienstleistungen</v>
      </c>
      <c r="D89" s="90"/>
      <c r="E89" s="90"/>
      <c r="F89" s="288"/>
      <c r="G89" s="10" t="str">
        <f>IFERROR(VLOOKUP(IT_Dienstleistungen[[#This Row],[Thema_Bezeichung]],EFs_IT[],4,FALSE),"")</f>
        <v/>
      </c>
      <c r="H89" s="90"/>
      <c r="I89" s="90"/>
      <c r="J89" s="90"/>
      <c r="K89" s="284" t="str">
        <f>IF(ISBLANK(IT_Dienstleistungen[[#This Row],[Wert 
(Zahl)]]),"",SUM(IT_Dienstleistungen[[#This Row],[Scope 1 CO2e '[kg CO2e']]:[Scope 3 CO2e '[kg CO2e']]]))</f>
        <v/>
      </c>
      <c r="L89" s="408"/>
      <c r="M89" s="408"/>
      <c r="N89" s="15" t="str">
        <f>IF(ISBLANK(IT_Dienstleistungen[[#This Row],[Emissionsquelle/Aktivität (Dropdown)]]),"",CONCATENATE(IT_Dienstleistungen[[#This Row],[Sektor_Thema]]," - ",IT_Dienstleistungen[[#This Row],[Emissionsquelle/Aktivität (Dropdown)]]))</f>
        <v/>
      </c>
      <c r="O89" s="10" t="str">
        <f>IFERROR(VLOOKUP(IT_Dienstleistungen[[#This Row],[Thema_Bezeichung]],EFs_IT[],5,FALSE),"")</f>
        <v/>
      </c>
      <c r="P89" s="10" t="str">
        <f>IFERROR(VLOOKUP(IT_Dienstleistungen[[#This Row],[Thema_Bezeichung]],EFs_IT[],6,FALSE),"")</f>
        <v/>
      </c>
      <c r="Q89" s="10" t="str">
        <f>IFERROR(VLOOKUP(IT_Dienstleistungen[[#This Row],[Thema_Bezeichung]],EFs_IT[],7,FALSE),"")</f>
        <v/>
      </c>
      <c r="R89" s="10" t="str">
        <f>IFERROR(IT_Dienstleistungen[[#This Row],[Wert 
(Zahl)]]*IT_Dienstleistungen[[#This Row],[EF Scope 1 CO2e
(kg CO2e/Einheit)]],"")</f>
        <v/>
      </c>
      <c r="S89" s="10" t="str">
        <f>IFERROR(IT_Dienstleistungen[[#This Row],[Wert 
(Zahl)]]*IT_Dienstleistungen[[#This Row],[EF Scope 2 CO2e
(kg CO2e/Einheit)]],"")</f>
        <v/>
      </c>
      <c r="T89" s="10" t="str">
        <f>IFERROR(IT_Dienstleistungen[[#This Row],[Wert 
(Zahl)]]*IT_Dienstleistungen[[#This Row],[EF Scope 3 CO2e
(kg CO2e/Einheit)]],"")</f>
        <v/>
      </c>
    </row>
    <row r="90" spans="2:20" s="86" customFormat="1" x14ac:dyDescent="0.35">
      <c r="B90" s="621"/>
      <c r="C90" s="1" t="str">
        <f t="shared" si="2"/>
        <v>IT_Dienstleistungen</v>
      </c>
      <c r="D90" s="90"/>
      <c r="E90" s="90"/>
      <c r="F90" s="288"/>
      <c r="G90" s="10" t="str">
        <f>IFERROR(VLOOKUP(IT_Dienstleistungen[[#This Row],[Thema_Bezeichung]],EFs_IT[],4,FALSE),"")</f>
        <v/>
      </c>
      <c r="H90" s="90"/>
      <c r="I90" s="90"/>
      <c r="J90" s="90"/>
      <c r="K90" s="284" t="str">
        <f>IF(ISBLANK(IT_Dienstleistungen[[#This Row],[Wert 
(Zahl)]]),"",SUM(IT_Dienstleistungen[[#This Row],[Scope 1 CO2e '[kg CO2e']]:[Scope 3 CO2e '[kg CO2e']]]))</f>
        <v/>
      </c>
      <c r="L90" s="408"/>
      <c r="M90" s="408"/>
      <c r="N90" s="15" t="str">
        <f>IF(ISBLANK(IT_Dienstleistungen[[#This Row],[Emissionsquelle/Aktivität (Dropdown)]]),"",CONCATENATE(IT_Dienstleistungen[[#This Row],[Sektor_Thema]]," - ",IT_Dienstleistungen[[#This Row],[Emissionsquelle/Aktivität (Dropdown)]]))</f>
        <v/>
      </c>
      <c r="O90" s="10" t="str">
        <f>IFERROR(VLOOKUP(IT_Dienstleistungen[[#This Row],[Thema_Bezeichung]],EFs_IT[],5,FALSE),"")</f>
        <v/>
      </c>
      <c r="P90" s="10" t="str">
        <f>IFERROR(VLOOKUP(IT_Dienstleistungen[[#This Row],[Thema_Bezeichung]],EFs_IT[],6,FALSE),"")</f>
        <v/>
      </c>
      <c r="Q90" s="10" t="str">
        <f>IFERROR(VLOOKUP(IT_Dienstleistungen[[#This Row],[Thema_Bezeichung]],EFs_IT[],7,FALSE),"")</f>
        <v/>
      </c>
      <c r="R90" s="10" t="str">
        <f>IFERROR(IT_Dienstleistungen[[#This Row],[Wert 
(Zahl)]]*IT_Dienstleistungen[[#This Row],[EF Scope 1 CO2e
(kg CO2e/Einheit)]],"")</f>
        <v/>
      </c>
      <c r="S90" s="10" t="str">
        <f>IFERROR(IT_Dienstleistungen[[#This Row],[Wert 
(Zahl)]]*IT_Dienstleistungen[[#This Row],[EF Scope 2 CO2e
(kg CO2e/Einheit)]],"")</f>
        <v/>
      </c>
      <c r="T90" s="10" t="str">
        <f>IFERROR(IT_Dienstleistungen[[#This Row],[Wert 
(Zahl)]]*IT_Dienstleistungen[[#This Row],[EF Scope 3 CO2e
(kg CO2e/Einheit)]],"")</f>
        <v/>
      </c>
    </row>
    <row r="91" spans="2:20" s="86" customFormat="1" x14ac:dyDescent="0.35">
      <c r="B91" s="621"/>
      <c r="C91" s="1" t="str">
        <f t="shared" si="2"/>
        <v>IT_Dienstleistungen</v>
      </c>
      <c r="D91" s="90"/>
      <c r="E91" s="90"/>
      <c r="F91" s="288"/>
      <c r="G91" s="10" t="str">
        <f>IFERROR(VLOOKUP(IT_Dienstleistungen[[#This Row],[Thema_Bezeichung]],EFs_IT[],4,FALSE),"")</f>
        <v/>
      </c>
      <c r="H91" s="90"/>
      <c r="I91" s="90"/>
      <c r="J91" s="90"/>
      <c r="K91" s="284" t="str">
        <f>IF(ISBLANK(IT_Dienstleistungen[[#This Row],[Wert 
(Zahl)]]),"",SUM(IT_Dienstleistungen[[#This Row],[Scope 1 CO2e '[kg CO2e']]:[Scope 3 CO2e '[kg CO2e']]]))</f>
        <v/>
      </c>
      <c r="L91" s="408"/>
      <c r="M91" s="408"/>
      <c r="N91" s="15" t="str">
        <f>IF(ISBLANK(IT_Dienstleistungen[[#This Row],[Emissionsquelle/Aktivität (Dropdown)]]),"",CONCATENATE(IT_Dienstleistungen[[#This Row],[Sektor_Thema]]," - ",IT_Dienstleistungen[[#This Row],[Emissionsquelle/Aktivität (Dropdown)]]))</f>
        <v/>
      </c>
      <c r="O91" s="10" t="str">
        <f>IFERROR(VLOOKUP(IT_Dienstleistungen[[#This Row],[Thema_Bezeichung]],EFs_IT[],5,FALSE),"")</f>
        <v/>
      </c>
      <c r="P91" s="10" t="str">
        <f>IFERROR(VLOOKUP(IT_Dienstleistungen[[#This Row],[Thema_Bezeichung]],EFs_IT[],6,FALSE),"")</f>
        <v/>
      </c>
      <c r="Q91" s="10" t="str">
        <f>IFERROR(VLOOKUP(IT_Dienstleistungen[[#This Row],[Thema_Bezeichung]],EFs_IT[],7,FALSE),"")</f>
        <v/>
      </c>
      <c r="R91" s="10" t="str">
        <f>IFERROR(IT_Dienstleistungen[[#This Row],[Wert 
(Zahl)]]*IT_Dienstleistungen[[#This Row],[EF Scope 1 CO2e
(kg CO2e/Einheit)]],"")</f>
        <v/>
      </c>
      <c r="S91" s="10" t="str">
        <f>IFERROR(IT_Dienstleistungen[[#This Row],[Wert 
(Zahl)]]*IT_Dienstleistungen[[#This Row],[EF Scope 2 CO2e
(kg CO2e/Einheit)]],"")</f>
        <v/>
      </c>
      <c r="T91" s="10" t="str">
        <f>IFERROR(IT_Dienstleistungen[[#This Row],[Wert 
(Zahl)]]*IT_Dienstleistungen[[#This Row],[EF Scope 3 CO2e
(kg CO2e/Einheit)]],"")</f>
        <v/>
      </c>
    </row>
    <row r="92" spans="2:20" s="86" customFormat="1" x14ac:dyDescent="0.35">
      <c r="B92" s="621"/>
      <c r="C92" s="1" t="str">
        <f t="shared" si="2"/>
        <v>IT_Dienstleistungen</v>
      </c>
      <c r="D92" s="90"/>
      <c r="E92" s="90"/>
      <c r="F92" s="288"/>
      <c r="G92" s="10" t="str">
        <f>IFERROR(VLOOKUP(IT_Dienstleistungen[[#This Row],[Thema_Bezeichung]],EFs_IT[],4,FALSE),"")</f>
        <v/>
      </c>
      <c r="H92" s="90"/>
      <c r="I92" s="90"/>
      <c r="J92" s="90"/>
      <c r="K92" s="284" t="str">
        <f>IF(ISBLANK(IT_Dienstleistungen[[#This Row],[Wert 
(Zahl)]]),"",SUM(IT_Dienstleistungen[[#This Row],[Scope 1 CO2e '[kg CO2e']]:[Scope 3 CO2e '[kg CO2e']]]))</f>
        <v/>
      </c>
      <c r="L92" s="408"/>
      <c r="M92" s="408"/>
      <c r="N92" s="15" t="str">
        <f>IF(ISBLANK(IT_Dienstleistungen[[#This Row],[Emissionsquelle/Aktivität (Dropdown)]]),"",CONCATENATE(IT_Dienstleistungen[[#This Row],[Sektor_Thema]]," - ",IT_Dienstleistungen[[#This Row],[Emissionsquelle/Aktivität (Dropdown)]]))</f>
        <v/>
      </c>
      <c r="O92" s="10" t="str">
        <f>IFERROR(VLOOKUP(IT_Dienstleistungen[[#This Row],[Thema_Bezeichung]],EFs_IT[],5,FALSE),"")</f>
        <v/>
      </c>
      <c r="P92" s="10" t="str">
        <f>IFERROR(VLOOKUP(IT_Dienstleistungen[[#This Row],[Thema_Bezeichung]],EFs_IT[],6,FALSE),"")</f>
        <v/>
      </c>
      <c r="Q92" s="10" t="str">
        <f>IFERROR(VLOOKUP(IT_Dienstleistungen[[#This Row],[Thema_Bezeichung]],EFs_IT[],7,FALSE),"")</f>
        <v/>
      </c>
      <c r="R92" s="10" t="str">
        <f>IFERROR(IT_Dienstleistungen[[#This Row],[Wert 
(Zahl)]]*IT_Dienstleistungen[[#This Row],[EF Scope 1 CO2e
(kg CO2e/Einheit)]],"")</f>
        <v/>
      </c>
      <c r="S92" s="10" t="str">
        <f>IFERROR(IT_Dienstleistungen[[#This Row],[Wert 
(Zahl)]]*IT_Dienstleistungen[[#This Row],[EF Scope 2 CO2e
(kg CO2e/Einheit)]],"")</f>
        <v/>
      </c>
      <c r="T92" s="10" t="str">
        <f>IFERROR(IT_Dienstleistungen[[#This Row],[Wert 
(Zahl)]]*IT_Dienstleistungen[[#This Row],[EF Scope 3 CO2e
(kg CO2e/Einheit)]],"")</f>
        <v/>
      </c>
    </row>
    <row r="93" spans="2:20" s="86" customFormat="1" x14ac:dyDescent="0.35">
      <c r="B93" s="621"/>
      <c r="C93" s="1" t="str">
        <f t="shared" si="2"/>
        <v>IT_Dienstleistungen</v>
      </c>
      <c r="D93" s="90"/>
      <c r="E93" s="90"/>
      <c r="F93" s="288"/>
      <c r="G93" s="10" t="str">
        <f>IFERROR(VLOOKUP(IT_Dienstleistungen[[#This Row],[Thema_Bezeichung]],EFs_IT[],4,FALSE),"")</f>
        <v/>
      </c>
      <c r="H93" s="90"/>
      <c r="I93" s="90"/>
      <c r="J93" s="90"/>
      <c r="K93" s="284" t="str">
        <f>IF(ISBLANK(IT_Dienstleistungen[[#This Row],[Wert 
(Zahl)]]),"",SUM(IT_Dienstleistungen[[#This Row],[Scope 1 CO2e '[kg CO2e']]:[Scope 3 CO2e '[kg CO2e']]]))</f>
        <v/>
      </c>
      <c r="L93" s="408"/>
      <c r="M93" s="408"/>
      <c r="N93" s="15" t="str">
        <f>IF(ISBLANK(IT_Dienstleistungen[[#This Row],[Emissionsquelle/Aktivität (Dropdown)]]),"",CONCATENATE(IT_Dienstleistungen[[#This Row],[Sektor_Thema]]," - ",IT_Dienstleistungen[[#This Row],[Emissionsquelle/Aktivität (Dropdown)]]))</f>
        <v/>
      </c>
      <c r="O93" s="10" t="str">
        <f>IFERROR(VLOOKUP(IT_Dienstleistungen[[#This Row],[Thema_Bezeichung]],EFs_IT[],5,FALSE),"")</f>
        <v/>
      </c>
      <c r="P93" s="10" t="str">
        <f>IFERROR(VLOOKUP(IT_Dienstleistungen[[#This Row],[Thema_Bezeichung]],EFs_IT[],6,FALSE),"")</f>
        <v/>
      </c>
      <c r="Q93" s="10" t="str">
        <f>IFERROR(VLOOKUP(IT_Dienstleistungen[[#This Row],[Thema_Bezeichung]],EFs_IT[],7,FALSE),"")</f>
        <v/>
      </c>
      <c r="R93" s="10" t="str">
        <f>IFERROR(IT_Dienstleistungen[[#This Row],[Wert 
(Zahl)]]*IT_Dienstleistungen[[#This Row],[EF Scope 1 CO2e
(kg CO2e/Einheit)]],"")</f>
        <v/>
      </c>
      <c r="S93" s="10" t="str">
        <f>IFERROR(IT_Dienstleistungen[[#This Row],[Wert 
(Zahl)]]*IT_Dienstleistungen[[#This Row],[EF Scope 2 CO2e
(kg CO2e/Einheit)]],"")</f>
        <v/>
      </c>
      <c r="T93" s="10" t="str">
        <f>IFERROR(IT_Dienstleistungen[[#This Row],[Wert 
(Zahl)]]*IT_Dienstleistungen[[#This Row],[EF Scope 3 CO2e
(kg CO2e/Einheit)]],"")</f>
        <v/>
      </c>
    </row>
    <row r="94" spans="2:20" s="86" customFormat="1" x14ac:dyDescent="0.35">
      <c r="B94" s="621"/>
      <c r="C94" s="86" t="str">
        <f t="shared" si="2"/>
        <v>IT_Dienstleistungen</v>
      </c>
      <c r="D94" s="90"/>
      <c r="E94" s="90"/>
      <c r="F94" s="288"/>
      <c r="G94" s="90" t="str">
        <f>IFERROR(VLOOKUP(IT_Dienstleistungen[[#This Row],[Thema_Bezeichung]],EFs_IT[],4,FALSE),"")</f>
        <v/>
      </c>
      <c r="H94" s="90"/>
      <c r="I94" s="90"/>
      <c r="J94" s="90"/>
      <c r="K94" s="285" t="str">
        <f>IF(ISBLANK(IT_Dienstleistungen[[#This Row],[Wert 
(Zahl)]]),"",SUM(IT_Dienstleistungen[[#This Row],[Scope 1 CO2e '[kg CO2e']]:[Scope 3 CO2e '[kg CO2e']]]))</f>
        <v/>
      </c>
      <c r="L94" s="409"/>
      <c r="M94" s="409"/>
      <c r="N94" s="94" t="str">
        <f>IF(ISBLANK(IT_Dienstleistungen[[#This Row],[Emissionsquelle/Aktivität (Dropdown)]]),"",CONCATENATE(IT_Dienstleistungen[[#This Row],[Sektor_Thema]]," - ",IT_Dienstleistungen[[#This Row],[Emissionsquelle/Aktivität (Dropdown)]]))</f>
        <v/>
      </c>
      <c r="O94" s="90" t="str">
        <f>IFERROR(VLOOKUP(IT_Dienstleistungen[[#This Row],[Thema_Bezeichung]],EFs_IT[],5,FALSE),"")</f>
        <v/>
      </c>
      <c r="P94" s="90" t="str">
        <f>IFERROR(VLOOKUP(IT_Dienstleistungen[[#This Row],[Thema_Bezeichung]],EFs_IT[],6,FALSE),"")</f>
        <v/>
      </c>
      <c r="Q94" s="90" t="str">
        <f>IFERROR(VLOOKUP(IT_Dienstleistungen[[#This Row],[Thema_Bezeichung]],EFs_IT[],7,FALSE),"")</f>
        <v/>
      </c>
      <c r="R94" s="90" t="str">
        <f>IFERROR(IT_Dienstleistungen[[#This Row],[Wert 
(Zahl)]]*IT_Dienstleistungen[[#This Row],[EF Scope 1 CO2e
(kg CO2e/Einheit)]],"")</f>
        <v/>
      </c>
      <c r="S94" s="90" t="str">
        <f>IFERROR(IT_Dienstleistungen[[#This Row],[Wert 
(Zahl)]]*IT_Dienstleistungen[[#This Row],[EF Scope 2 CO2e
(kg CO2e/Einheit)]],"")</f>
        <v/>
      </c>
      <c r="T94" s="90" t="str">
        <f>IFERROR(IT_Dienstleistungen[[#This Row],[Wert 
(Zahl)]]*IT_Dienstleistungen[[#This Row],[EF Scope 3 CO2e
(kg CO2e/Einheit)]],"")</f>
        <v/>
      </c>
    </row>
    <row r="95" spans="2:20" s="86" customFormat="1" ht="15" thickBot="1" x14ac:dyDescent="0.4">
      <c r="B95" s="622"/>
      <c r="C95" s="86" t="str">
        <f t="shared" si="2"/>
        <v>IT_Dienstleistungen</v>
      </c>
      <c r="D95" s="90"/>
      <c r="E95" s="90"/>
      <c r="F95" s="288"/>
      <c r="G95" s="90" t="str">
        <f>IFERROR(VLOOKUP(IT_Dienstleistungen[[#This Row],[Thema_Bezeichung]],EFs_IT[],4,FALSE),"")</f>
        <v/>
      </c>
      <c r="H95" s="90"/>
      <c r="I95" s="90"/>
      <c r="J95" s="90"/>
      <c r="K95" s="285" t="str">
        <f>IF(ISBLANK(IT_Dienstleistungen[[#This Row],[Wert 
(Zahl)]]),"",SUM(IT_Dienstleistungen[[#This Row],[Scope 1 CO2e '[kg CO2e']]:[Scope 3 CO2e '[kg CO2e']]]))</f>
        <v/>
      </c>
      <c r="L95" s="409"/>
      <c r="M95" s="409"/>
      <c r="N95" s="94" t="str">
        <f>IF(ISBLANK(IT_Dienstleistungen[[#This Row],[Emissionsquelle/Aktivität (Dropdown)]]),"",CONCATENATE(IT_Dienstleistungen[[#This Row],[Sektor_Thema]]," - ",IT_Dienstleistungen[[#This Row],[Emissionsquelle/Aktivität (Dropdown)]]))</f>
        <v/>
      </c>
      <c r="O95" s="90" t="str">
        <f>IFERROR(VLOOKUP(IT_Dienstleistungen[[#This Row],[Thema_Bezeichung]],EFs_IT[],5,FALSE),"")</f>
        <v/>
      </c>
      <c r="P95" s="90" t="str">
        <f>IFERROR(VLOOKUP(IT_Dienstleistungen[[#This Row],[Thema_Bezeichung]],EFs_IT[],6,FALSE),"")</f>
        <v/>
      </c>
      <c r="Q95" s="90" t="str">
        <f>IFERROR(VLOOKUP(IT_Dienstleistungen[[#This Row],[Thema_Bezeichung]],EFs_IT[],7,FALSE),"")</f>
        <v/>
      </c>
      <c r="R95" s="90" t="str">
        <f>IFERROR(IT_Dienstleistungen[[#This Row],[Wert 
(Zahl)]]*IT_Dienstleistungen[[#This Row],[EF Scope 1 CO2e
(kg CO2e/Einheit)]],"")</f>
        <v/>
      </c>
      <c r="S95" s="90" t="str">
        <f>IFERROR(IT_Dienstleistungen[[#This Row],[Wert 
(Zahl)]]*IT_Dienstleistungen[[#This Row],[EF Scope 2 CO2e
(kg CO2e/Einheit)]],"")</f>
        <v/>
      </c>
      <c r="T95" s="90" t="str">
        <f>IFERROR(IT_Dienstleistungen[[#This Row],[Wert 
(Zahl)]]*IT_Dienstleistungen[[#This Row],[EF Scope 3 CO2e
(kg CO2e/Einheit)]],"")</f>
        <v/>
      </c>
    </row>
    <row r="96" spans="2:20" s="2" customFormat="1" ht="15.75" customHeight="1" thickTop="1" x14ac:dyDescent="0.35">
      <c r="B96" s="53"/>
      <c r="D96" s="109" t="s">
        <v>204</v>
      </c>
      <c r="K96" s="286">
        <f>SUBTOTAL(109,IT_Dienstleistungen[Ergebnis '[kg CO2e']
(vorausgefüllt)])</f>
        <v>0</v>
      </c>
      <c r="L96" s="410"/>
      <c r="M96" s="410"/>
      <c r="R96" s="2">
        <f>SUBTOTAL(109,IT_Dienstleistungen[Scope 1 CO2e '[kg CO2e']])</f>
        <v>0</v>
      </c>
      <c r="S96" s="2">
        <f>SUBTOTAL(109,IT_Dienstleistungen[Scope 2 CO2e '[kg CO2e']])</f>
        <v>0</v>
      </c>
      <c r="T96" s="2">
        <f>SUBTOTAL(109,IT_Dienstleistungen[Scope 3 CO2e '[kg CO2e']])</f>
        <v>0</v>
      </c>
    </row>
    <row r="97" spans="1:31" ht="121.5" customHeight="1" x14ac:dyDescent="0.35">
      <c r="B97" s="183" t="s">
        <v>79</v>
      </c>
    </row>
    <row r="98" spans="1:31" x14ac:dyDescent="0.35">
      <c r="B98" s="127" t="s">
        <v>80</v>
      </c>
      <c r="X98" s="151"/>
      <c r="Y98" s="151"/>
      <c r="Z98" s="151"/>
      <c r="AA98" s="151"/>
      <c r="AB98" s="151"/>
      <c r="AC98" s="151"/>
      <c r="AD98" s="151"/>
      <c r="AE98" s="151"/>
    </row>
    <row r="99" spans="1:31" s="1" customFormat="1" ht="23.25" customHeight="1" x14ac:dyDescent="0.45">
      <c r="A99"/>
      <c r="B99" s="126" t="s">
        <v>19</v>
      </c>
      <c r="C99"/>
      <c r="D99"/>
      <c r="E99"/>
      <c r="F99"/>
      <c r="G99"/>
      <c r="H99"/>
      <c r="I99"/>
      <c r="J99"/>
      <c r="K99"/>
      <c r="L99"/>
      <c r="M99"/>
      <c r="N99"/>
      <c r="O99"/>
      <c r="P99"/>
      <c r="Q99"/>
      <c r="R99"/>
      <c r="S99"/>
      <c r="T99"/>
      <c r="U99"/>
      <c r="V99"/>
      <c r="W99"/>
    </row>
    <row r="100" spans="1:31" ht="92" customHeight="1" thickBot="1" x14ac:dyDescent="0.4">
      <c r="B100" s="278" t="s">
        <v>81</v>
      </c>
      <c r="C100" s="279"/>
      <c r="D100" s="601" t="s">
        <v>571</v>
      </c>
      <c r="E100" s="601"/>
      <c r="F100" s="601"/>
      <c r="G100" s="601"/>
      <c r="H100" s="601"/>
      <c r="I100" s="602"/>
      <c r="J100" s="1"/>
      <c r="K100" s="1"/>
      <c r="L100" s="1"/>
      <c r="M100" s="1"/>
      <c r="N100" s="1"/>
      <c r="O100" s="444"/>
      <c r="P100" s="444"/>
      <c r="Q100" s="444"/>
      <c r="R100" s="1"/>
      <c r="S100" s="1"/>
      <c r="T100" s="1"/>
      <c r="U100" s="1"/>
      <c r="V100" s="1"/>
      <c r="W100" s="1"/>
    </row>
    <row r="101" spans="1:31" ht="15" thickTop="1" x14ac:dyDescent="0.35">
      <c r="C101" t="s">
        <v>48</v>
      </c>
    </row>
    <row r="102" spans="1:31" ht="44" thickBot="1" x14ac:dyDescent="0.4">
      <c r="B102" s="10"/>
      <c r="C102" s="23" t="s">
        <v>46</v>
      </c>
      <c r="D102" s="23" t="s">
        <v>192</v>
      </c>
      <c r="E102" s="23" t="s">
        <v>65</v>
      </c>
      <c r="F102" s="23" t="s">
        <v>66</v>
      </c>
      <c r="G102" s="97" t="s">
        <v>78</v>
      </c>
      <c r="H102" s="23" t="s">
        <v>120</v>
      </c>
      <c r="I102" s="97" t="s">
        <v>74</v>
      </c>
      <c r="J102" s="97" t="s">
        <v>75</v>
      </c>
      <c r="K102" s="156" t="s">
        <v>574</v>
      </c>
      <c r="L102" s="407" t="s">
        <v>424</v>
      </c>
      <c r="M102" s="407" t="s">
        <v>484</v>
      </c>
      <c r="N102" s="96" t="s">
        <v>217</v>
      </c>
      <c r="O102" s="443" t="s">
        <v>485</v>
      </c>
      <c r="P102" s="443" t="s">
        <v>486</v>
      </c>
      <c r="Q102" s="443" t="s">
        <v>532</v>
      </c>
      <c r="R102" s="443" t="s">
        <v>533</v>
      </c>
      <c r="S102" s="134" t="s">
        <v>493</v>
      </c>
      <c r="T102" s="134" t="s">
        <v>527</v>
      </c>
      <c r="U102" s="134" t="s">
        <v>534</v>
      </c>
      <c r="V102" s="134" t="s">
        <v>535</v>
      </c>
    </row>
    <row r="103" spans="1:31" s="89" customFormat="1" ht="15" thickTop="1" x14ac:dyDescent="0.35">
      <c r="B103" s="615" t="s">
        <v>19</v>
      </c>
      <c r="C103" t="str">
        <f t="shared" ref="C103:C122" si="3">$C$101</f>
        <v>Relevante_Stoffströme</v>
      </c>
      <c r="D103" s="90"/>
      <c r="E103" s="90"/>
      <c r="F103" s="288"/>
      <c r="G103" s="10" t="str">
        <f>IFERROR(VLOOKUP(Relevante_Stoffströme[[#This Row],[Thema_Bezeichung]],EFs_3135[],4,FALSE),"")</f>
        <v/>
      </c>
      <c r="H103" s="90"/>
      <c r="I103" s="90"/>
      <c r="J103" s="90"/>
      <c r="K103" s="284" t="str">
        <f>IF(ISBLANK(Relevante_Stoffströme[[#This Row],[Wert 
(Zahl)]]),"",SUM(Relevante_Stoffströme[[#This Row],[Scope 1 CO2e '[kg CO2e']]:[Scope 3.5 CO2e '[kg CO2e']]]))</f>
        <v/>
      </c>
      <c r="L103" s="408"/>
      <c r="M103" s="408"/>
      <c r="N103" s="152" t="str">
        <f>IF(ISBLANK(Relevante_Stoffströme[[#This Row],[Emissionsquelle/Aktivität (Dropdown)]]),"",CONCATENATE(Relevante_Stoffströme[[#This Row],[Sektor_Thema]]," - ",Relevante_Stoffströme[[#This Row],[Emissionsquelle/Aktivität (Dropdown)]]))</f>
        <v/>
      </c>
      <c r="O103" s="153" t="str">
        <f>IFERROR(VLOOKUP(Relevante_Stoffströme[[#This Row],[Thema_Bezeichung]],EFs_3135[],5,FALSE),"")</f>
        <v/>
      </c>
      <c r="P103" s="153" t="str">
        <f>IFERROR(VLOOKUP(Relevante_Stoffströme[[#This Row],[Thema_Bezeichung]],EFs_3135[],6,FALSE),"")</f>
        <v/>
      </c>
      <c r="Q103" s="153" t="str">
        <f>IFERROR(VLOOKUP(Relevante_Stoffströme[[#This Row],[Thema_Bezeichung]],EFs_3135[],7,FALSE),"")</f>
        <v/>
      </c>
      <c r="R103" s="153" t="str">
        <f>IFERROR(VLOOKUP(Relevante_Stoffströme[[#This Row],[Thema_Bezeichung]],EFs_3135[],8,FALSE),"")</f>
        <v/>
      </c>
      <c r="S103" s="153" t="str">
        <f>IFERROR(Relevante_Stoffströme[[#This Row],[Wert 
(Zahl)]]*Relevante_Stoffströme[[#This Row],[EF Scope 1 CO2e
(kg CO2e/Einheit)]],"")</f>
        <v/>
      </c>
      <c r="T103" s="153" t="str">
        <f>IFERROR(Relevante_Stoffströme[[#This Row],[Wert 
(Zahl)]]*Relevante_Stoffströme[[#This Row],[EF Scope 2 CO2e
(kg CO2e/Einheit)]],"")</f>
        <v/>
      </c>
      <c r="U103" s="153" t="str">
        <f>IFERROR(Relevante_Stoffströme[[#This Row],[Wert 
(Zahl)]]*Relevante_Stoffströme[[#This Row],[EF Scope 3.1 CO2e
(kg CO2e/Einheit)]],"")</f>
        <v/>
      </c>
      <c r="V103" s="153" t="str">
        <f>IFERROR(Relevante_Stoffströme[[#This Row],[Wert 
(Zahl)]]*Relevante_Stoffströme[[#This Row],[EF Scope 3.5 CO2e
(kg CO2e/Einheit)2]],"")</f>
        <v/>
      </c>
    </row>
    <row r="104" spans="1:31" s="89" customFormat="1" x14ac:dyDescent="0.35">
      <c r="B104" s="616"/>
      <c r="C104" t="str">
        <f t="shared" si="3"/>
        <v>Relevante_Stoffströme</v>
      </c>
      <c r="D104" s="90"/>
      <c r="E104" s="90"/>
      <c r="F104" s="288"/>
      <c r="G104" s="10" t="str">
        <f>IFERROR(VLOOKUP(Relevante_Stoffströme[[#This Row],[Thema_Bezeichung]],EFs_3135[],4,FALSE),"")</f>
        <v/>
      </c>
      <c r="H104" s="90"/>
      <c r="I104" s="90"/>
      <c r="J104" s="90"/>
      <c r="K104" s="289" t="str">
        <f>IF(ISBLANK(Relevante_Stoffströme[[#This Row],[Wert 
(Zahl)]]),"",SUM(Relevante_Stoffströme[[#This Row],[Scope 1 CO2e '[kg CO2e']]:[Scope 3.5 CO2e '[kg CO2e']]]))</f>
        <v/>
      </c>
      <c r="L104" s="408"/>
      <c r="M104" s="408"/>
      <c r="N104" s="152" t="str">
        <f>IF(ISBLANK(Relevante_Stoffströme[[#This Row],[Emissionsquelle/Aktivität (Dropdown)]]),"",CONCATENATE(Relevante_Stoffströme[[#This Row],[Sektor_Thema]]," - ",Relevante_Stoffströme[[#This Row],[Emissionsquelle/Aktivität (Dropdown)]]))</f>
        <v/>
      </c>
      <c r="O104" s="153" t="str">
        <f>IFERROR(VLOOKUP(Relevante_Stoffströme[[#This Row],[Thema_Bezeichung]],EFs_3135[],5,FALSE),"")</f>
        <v/>
      </c>
      <c r="P104" s="153" t="str">
        <f>IFERROR(VLOOKUP(Relevante_Stoffströme[[#This Row],[Thema_Bezeichung]],EFs_3135[],6,FALSE),"")</f>
        <v/>
      </c>
      <c r="Q104" s="153" t="str">
        <f>IFERROR(VLOOKUP(Relevante_Stoffströme[[#This Row],[Thema_Bezeichung]],EFs_3135[],7,FALSE),"")</f>
        <v/>
      </c>
      <c r="R104" s="153" t="str">
        <f>IFERROR(VLOOKUP(Relevante_Stoffströme[[#This Row],[Thema_Bezeichung]],EFs_3135[],8,FALSE),"")</f>
        <v/>
      </c>
      <c r="S104" s="153" t="str">
        <f>IFERROR(Relevante_Stoffströme[[#This Row],[Wert 
(Zahl)]]*Relevante_Stoffströme[[#This Row],[EF Scope 1 CO2e
(kg CO2e/Einheit)]],"")</f>
        <v/>
      </c>
      <c r="T104" s="153" t="str">
        <f>IFERROR(Relevante_Stoffströme[[#This Row],[Wert 
(Zahl)]]*Relevante_Stoffströme[[#This Row],[EF Scope 2 CO2e
(kg CO2e/Einheit)]],"")</f>
        <v/>
      </c>
      <c r="U104" s="153" t="str">
        <f>IFERROR(Relevante_Stoffströme[[#This Row],[Wert 
(Zahl)]]*Relevante_Stoffströme[[#This Row],[EF Scope 3.1 CO2e
(kg CO2e/Einheit)]],"")</f>
        <v/>
      </c>
      <c r="V104" s="153" t="str">
        <f>IFERROR(Relevante_Stoffströme[[#This Row],[Wert 
(Zahl)]]*Relevante_Stoffströme[[#This Row],[EF Scope 3.5 CO2e
(kg CO2e/Einheit)2]],"")</f>
        <v/>
      </c>
    </row>
    <row r="105" spans="1:31" s="89" customFormat="1" x14ac:dyDescent="0.35">
      <c r="B105" s="616"/>
      <c r="C105" t="str">
        <f t="shared" si="3"/>
        <v>Relevante_Stoffströme</v>
      </c>
      <c r="D105" s="90"/>
      <c r="E105" s="90"/>
      <c r="F105" s="288"/>
      <c r="G105" s="10" t="str">
        <f>IFERROR(VLOOKUP(Relevante_Stoffströme[[#This Row],[Thema_Bezeichung]],EFs_3135[],4,FALSE),"")</f>
        <v/>
      </c>
      <c r="H105" s="90"/>
      <c r="I105" s="90"/>
      <c r="J105" s="90"/>
      <c r="K105" s="289" t="str">
        <f>IF(ISBLANK(Relevante_Stoffströme[[#This Row],[Wert 
(Zahl)]]),"",SUM(Relevante_Stoffströme[[#This Row],[Scope 1 CO2e '[kg CO2e']]:[Scope 3.5 CO2e '[kg CO2e']]]))</f>
        <v/>
      </c>
      <c r="L105" s="408"/>
      <c r="M105" s="408"/>
      <c r="N105" s="152" t="str">
        <f>IF(ISBLANK(Relevante_Stoffströme[[#This Row],[Emissionsquelle/Aktivität (Dropdown)]]),"",CONCATENATE(Relevante_Stoffströme[[#This Row],[Sektor_Thema]]," - ",Relevante_Stoffströme[[#This Row],[Emissionsquelle/Aktivität (Dropdown)]]))</f>
        <v/>
      </c>
      <c r="O105" s="153" t="str">
        <f>IFERROR(VLOOKUP(Relevante_Stoffströme[[#This Row],[Thema_Bezeichung]],EFs_3135[],5,FALSE),"")</f>
        <v/>
      </c>
      <c r="P105" s="153" t="str">
        <f>IFERROR(VLOOKUP(Relevante_Stoffströme[[#This Row],[Thema_Bezeichung]],EFs_3135[],6,FALSE),"")</f>
        <v/>
      </c>
      <c r="Q105" s="153" t="str">
        <f>IFERROR(VLOOKUP(Relevante_Stoffströme[[#This Row],[Thema_Bezeichung]],EFs_3135[],7,FALSE),"")</f>
        <v/>
      </c>
      <c r="R105" s="153" t="str">
        <f>IFERROR(VLOOKUP(Relevante_Stoffströme[[#This Row],[Thema_Bezeichung]],EFs_3135[],8,FALSE),"")</f>
        <v/>
      </c>
      <c r="S105" s="153" t="str">
        <f>IFERROR(Relevante_Stoffströme[[#This Row],[Wert 
(Zahl)]]*Relevante_Stoffströme[[#This Row],[EF Scope 1 CO2e
(kg CO2e/Einheit)]],"")</f>
        <v/>
      </c>
      <c r="T105" s="153" t="str">
        <f>IFERROR(Relevante_Stoffströme[[#This Row],[Wert 
(Zahl)]]*Relevante_Stoffströme[[#This Row],[EF Scope 2 CO2e
(kg CO2e/Einheit)]],"")</f>
        <v/>
      </c>
      <c r="U105" s="153" t="str">
        <f>IFERROR(Relevante_Stoffströme[[#This Row],[Wert 
(Zahl)]]*Relevante_Stoffströme[[#This Row],[EF Scope 3.1 CO2e
(kg CO2e/Einheit)]],"")</f>
        <v/>
      </c>
      <c r="V105" s="153" t="str">
        <f>IFERROR(Relevante_Stoffströme[[#This Row],[Wert 
(Zahl)]]*Relevante_Stoffströme[[#This Row],[EF Scope 3.5 CO2e
(kg CO2e/Einheit)2]],"")</f>
        <v/>
      </c>
    </row>
    <row r="106" spans="1:31" s="89" customFormat="1" x14ac:dyDescent="0.35">
      <c r="B106" s="616"/>
      <c r="C106" t="str">
        <f t="shared" si="3"/>
        <v>Relevante_Stoffströme</v>
      </c>
      <c r="D106" s="90"/>
      <c r="E106" s="90"/>
      <c r="F106" s="288"/>
      <c r="G106" s="10" t="str">
        <f>IFERROR(VLOOKUP(Relevante_Stoffströme[[#This Row],[Thema_Bezeichung]],EFs_3135[],4,FALSE),"")</f>
        <v/>
      </c>
      <c r="H106" s="90"/>
      <c r="I106" s="90"/>
      <c r="J106" s="90"/>
      <c r="K106" s="289" t="str">
        <f>IF(ISBLANK(Relevante_Stoffströme[[#This Row],[Wert 
(Zahl)]]),"",SUM(Relevante_Stoffströme[[#This Row],[Scope 1 CO2e '[kg CO2e']]:[Scope 3.5 CO2e '[kg CO2e']]]))</f>
        <v/>
      </c>
      <c r="L106" s="408"/>
      <c r="M106" s="408"/>
      <c r="N106" s="152" t="str">
        <f>IF(ISBLANK(Relevante_Stoffströme[[#This Row],[Emissionsquelle/Aktivität (Dropdown)]]),"",CONCATENATE(Relevante_Stoffströme[[#This Row],[Sektor_Thema]]," - ",Relevante_Stoffströme[[#This Row],[Emissionsquelle/Aktivität (Dropdown)]]))</f>
        <v/>
      </c>
      <c r="O106" s="153" t="str">
        <f>IFERROR(VLOOKUP(Relevante_Stoffströme[[#This Row],[Thema_Bezeichung]],EFs_3135[],5,FALSE),"")</f>
        <v/>
      </c>
      <c r="P106" s="153" t="str">
        <f>IFERROR(VLOOKUP(Relevante_Stoffströme[[#This Row],[Thema_Bezeichung]],EFs_3135[],6,FALSE),"")</f>
        <v/>
      </c>
      <c r="Q106" s="153" t="str">
        <f>IFERROR(VLOOKUP(Relevante_Stoffströme[[#This Row],[Thema_Bezeichung]],EFs_3135[],7,FALSE),"")</f>
        <v/>
      </c>
      <c r="R106" s="153" t="str">
        <f>IFERROR(VLOOKUP(Relevante_Stoffströme[[#This Row],[Thema_Bezeichung]],EFs_3135[],8,FALSE),"")</f>
        <v/>
      </c>
      <c r="S106" s="153" t="str">
        <f>IFERROR(Relevante_Stoffströme[[#This Row],[Wert 
(Zahl)]]*Relevante_Stoffströme[[#This Row],[EF Scope 1 CO2e
(kg CO2e/Einheit)]],"")</f>
        <v/>
      </c>
      <c r="T106" s="153" t="str">
        <f>IFERROR(Relevante_Stoffströme[[#This Row],[Wert 
(Zahl)]]*Relevante_Stoffströme[[#This Row],[EF Scope 2 CO2e
(kg CO2e/Einheit)]],"")</f>
        <v/>
      </c>
      <c r="U106" s="153" t="str">
        <f>IFERROR(Relevante_Stoffströme[[#This Row],[Wert 
(Zahl)]]*Relevante_Stoffströme[[#This Row],[EF Scope 3.1 CO2e
(kg CO2e/Einheit)]],"")</f>
        <v/>
      </c>
      <c r="V106" s="153" t="str">
        <f>IFERROR(Relevante_Stoffströme[[#This Row],[Wert 
(Zahl)]]*Relevante_Stoffströme[[#This Row],[EF Scope 3.5 CO2e
(kg CO2e/Einheit)2]],"")</f>
        <v/>
      </c>
    </row>
    <row r="107" spans="1:31" s="89" customFormat="1" x14ac:dyDescent="0.35">
      <c r="B107" s="616"/>
      <c r="C107" t="str">
        <f t="shared" si="3"/>
        <v>Relevante_Stoffströme</v>
      </c>
      <c r="D107" s="90"/>
      <c r="E107" s="90"/>
      <c r="F107" s="288"/>
      <c r="G107" s="10" t="str">
        <f>IFERROR(VLOOKUP(Relevante_Stoffströme[[#This Row],[Thema_Bezeichung]],EFs_3135[],4,FALSE),"")</f>
        <v/>
      </c>
      <c r="H107" s="90"/>
      <c r="I107" s="90"/>
      <c r="J107" s="90"/>
      <c r="K107" s="289" t="str">
        <f>IF(ISBLANK(Relevante_Stoffströme[[#This Row],[Wert 
(Zahl)]]),"",SUM(Relevante_Stoffströme[[#This Row],[Scope 1 CO2e '[kg CO2e']]:[Scope 3.5 CO2e '[kg CO2e']]]))</f>
        <v/>
      </c>
      <c r="L107" s="408"/>
      <c r="M107" s="408"/>
      <c r="N107" s="152" t="str">
        <f>IF(ISBLANK(Relevante_Stoffströme[[#This Row],[Emissionsquelle/Aktivität (Dropdown)]]),"",CONCATENATE(Relevante_Stoffströme[[#This Row],[Sektor_Thema]]," - ",Relevante_Stoffströme[[#This Row],[Emissionsquelle/Aktivität (Dropdown)]]))</f>
        <v/>
      </c>
      <c r="O107" s="153" t="str">
        <f>IFERROR(VLOOKUP(Relevante_Stoffströme[[#This Row],[Thema_Bezeichung]],EFs_3135[],5,FALSE),"")</f>
        <v/>
      </c>
      <c r="P107" s="153" t="str">
        <f>IFERROR(VLOOKUP(Relevante_Stoffströme[[#This Row],[Thema_Bezeichung]],EFs_3135[],6,FALSE),"")</f>
        <v/>
      </c>
      <c r="Q107" s="153" t="str">
        <f>IFERROR(VLOOKUP(Relevante_Stoffströme[[#This Row],[Thema_Bezeichung]],EFs_3135[],7,FALSE),"")</f>
        <v/>
      </c>
      <c r="R107" s="153" t="str">
        <f>IFERROR(VLOOKUP(Relevante_Stoffströme[[#This Row],[Thema_Bezeichung]],EFs_3135[],8,FALSE),"")</f>
        <v/>
      </c>
      <c r="S107" s="153" t="str">
        <f>IFERROR(Relevante_Stoffströme[[#This Row],[Wert 
(Zahl)]]*Relevante_Stoffströme[[#This Row],[EF Scope 1 CO2e
(kg CO2e/Einheit)]],"")</f>
        <v/>
      </c>
      <c r="T107" s="153" t="str">
        <f>IFERROR(Relevante_Stoffströme[[#This Row],[Wert 
(Zahl)]]*Relevante_Stoffströme[[#This Row],[EF Scope 2 CO2e
(kg CO2e/Einheit)]],"")</f>
        <v/>
      </c>
      <c r="U107" s="153" t="str">
        <f>IFERROR(Relevante_Stoffströme[[#This Row],[Wert 
(Zahl)]]*Relevante_Stoffströme[[#This Row],[EF Scope 3.1 CO2e
(kg CO2e/Einheit)]],"")</f>
        <v/>
      </c>
      <c r="V107" s="153" t="str">
        <f>IFERROR(Relevante_Stoffströme[[#This Row],[Wert 
(Zahl)]]*Relevante_Stoffströme[[#This Row],[EF Scope 3.5 CO2e
(kg CO2e/Einheit)2]],"")</f>
        <v/>
      </c>
    </row>
    <row r="108" spans="1:31" s="89" customFormat="1" x14ac:dyDescent="0.35">
      <c r="B108" s="616"/>
      <c r="C108" t="str">
        <f t="shared" si="3"/>
        <v>Relevante_Stoffströme</v>
      </c>
      <c r="D108" s="90"/>
      <c r="E108" s="90"/>
      <c r="F108" s="288"/>
      <c r="G108" s="10" t="str">
        <f>IFERROR(VLOOKUP(Relevante_Stoffströme[[#This Row],[Thema_Bezeichung]],EFs_3135[],4,FALSE),"")</f>
        <v/>
      </c>
      <c r="H108" s="90"/>
      <c r="I108" s="90"/>
      <c r="J108" s="90"/>
      <c r="K108" s="289" t="str">
        <f>IF(ISBLANK(Relevante_Stoffströme[[#This Row],[Wert 
(Zahl)]]),"",SUM(Relevante_Stoffströme[[#This Row],[Scope 1 CO2e '[kg CO2e']]:[Scope 3.5 CO2e '[kg CO2e']]]))</f>
        <v/>
      </c>
      <c r="L108" s="408"/>
      <c r="M108" s="408"/>
      <c r="N108" s="152" t="str">
        <f>IF(ISBLANK(Relevante_Stoffströme[[#This Row],[Emissionsquelle/Aktivität (Dropdown)]]),"",CONCATENATE(Relevante_Stoffströme[[#This Row],[Sektor_Thema]]," - ",Relevante_Stoffströme[[#This Row],[Emissionsquelle/Aktivität (Dropdown)]]))</f>
        <v/>
      </c>
      <c r="O108" s="153" t="str">
        <f>IFERROR(VLOOKUP(Relevante_Stoffströme[[#This Row],[Thema_Bezeichung]],EFs_3135[],5,FALSE),"")</f>
        <v/>
      </c>
      <c r="P108" s="153" t="str">
        <f>IFERROR(VLOOKUP(Relevante_Stoffströme[[#This Row],[Thema_Bezeichung]],EFs_3135[],6,FALSE),"")</f>
        <v/>
      </c>
      <c r="Q108" s="153" t="str">
        <f>IFERROR(VLOOKUP(Relevante_Stoffströme[[#This Row],[Thema_Bezeichung]],EFs_3135[],7,FALSE),"")</f>
        <v/>
      </c>
      <c r="R108" s="153" t="str">
        <f>IFERROR(VLOOKUP(Relevante_Stoffströme[[#This Row],[Thema_Bezeichung]],EFs_3135[],8,FALSE),"")</f>
        <v/>
      </c>
      <c r="S108" s="153" t="str">
        <f>IFERROR(Relevante_Stoffströme[[#This Row],[Wert 
(Zahl)]]*Relevante_Stoffströme[[#This Row],[EF Scope 1 CO2e
(kg CO2e/Einheit)]],"")</f>
        <v/>
      </c>
      <c r="T108" s="153" t="str">
        <f>IFERROR(Relevante_Stoffströme[[#This Row],[Wert 
(Zahl)]]*Relevante_Stoffströme[[#This Row],[EF Scope 2 CO2e
(kg CO2e/Einheit)]],"")</f>
        <v/>
      </c>
      <c r="U108" s="153" t="str">
        <f>IFERROR(Relevante_Stoffströme[[#This Row],[Wert 
(Zahl)]]*Relevante_Stoffströme[[#This Row],[EF Scope 3.1 CO2e
(kg CO2e/Einheit)]],"")</f>
        <v/>
      </c>
      <c r="V108" s="153" t="str">
        <f>IFERROR(Relevante_Stoffströme[[#This Row],[Wert 
(Zahl)]]*Relevante_Stoffströme[[#This Row],[EF Scope 3.5 CO2e
(kg CO2e/Einheit)2]],"")</f>
        <v/>
      </c>
    </row>
    <row r="109" spans="1:31" s="89" customFormat="1" x14ac:dyDescent="0.35">
      <c r="B109" s="616"/>
      <c r="C109" t="str">
        <f t="shared" si="3"/>
        <v>Relevante_Stoffströme</v>
      </c>
      <c r="D109" s="90"/>
      <c r="E109" s="90"/>
      <c r="F109" s="288"/>
      <c r="G109" s="10" t="str">
        <f>IFERROR(VLOOKUP(Relevante_Stoffströme[[#This Row],[Thema_Bezeichung]],EFs_3135[],4,FALSE),"")</f>
        <v/>
      </c>
      <c r="H109" s="90"/>
      <c r="I109" s="90"/>
      <c r="J109" s="90"/>
      <c r="K109" s="289" t="str">
        <f>IF(ISBLANK(Relevante_Stoffströme[[#This Row],[Wert 
(Zahl)]]),"",SUM(Relevante_Stoffströme[[#This Row],[Scope 1 CO2e '[kg CO2e']]:[Scope 3.5 CO2e '[kg CO2e']]]))</f>
        <v/>
      </c>
      <c r="L109" s="408"/>
      <c r="M109" s="408"/>
      <c r="N109" s="152" t="str">
        <f>IF(ISBLANK(Relevante_Stoffströme[[#This Row],[Emissionsquelle/Aktivität (Dropdown)]]),"",CONCATENATE(Relevante_Stoffströme[[#This Row],[Sektor_Thema]]," - ",Relevante_Stoffströme[[#This Row],[Emissionsquelle/Aktivität (Dropdown)]]))</f>
        <v/>
      </c>
      <c r="O109" s="153" t="str">
        <f>IFERROR(VLOOKUP(Relevante_Stoffströme[[#This Row],[Thema_Bezeichung]],EFs_3135[],5,FALSE),"")</f>
        <v/>
      </c>
      <c r="P109" s="153" t="str">
        <f>IFERROR(VLOOKUP(Relevante_Stoffströme[[#This Row],[Thema_Bezeichung]],EFs_3135[],6,FALSE),"")</f>
        <v/>
      </c>
      <c r="Q109" s="153" t="str">
        <f>IFERROR(VLOOKUP(Relevante_Stoffströme[[#This Row],[Thema_Bezeichung]],EFs_3135[],7,FALSE),"")</f>
        <v/>
      </c>
      <c r="R109" s="153" t="str">
        <f>IFERROR(VLOOKUP(Relevante_Stoffströme[[#This Row],[Thema_Bezeichung]],EFs_3135[],8,FALSE),"")</f>
        <v/>
      </c>
      <c r="S109" s="153" t="str">
        <f>IFERROR(Relevante_Stoffströme[[#This Row],[Wert 
(Zahl)]]*Relevante_Stoffströme[[#This Row],[EF Scope 1 CO2e
(kg CO2e/Einheit)]],"")</f>
        <v/>
      </c>
      <c r="T109" s="153" t="str">
        <f>IFERROR(Relevante_Stoffströme[[#This Row],[Wert 
(Zahl)]]*Relevante_Stoffströme[[#This Row],[EF Scope 2 CO2e
(kg CO2e/Einheit)]],"")</f>
        <v/>
      </c>
      <c r="U109" s="153" t="str">
        <f>IFERROR(Relevante_Stoffströme[[#This Row],[Wert 
(Zahl)]]*Relevante_Stoffströme[[#This Row],[EF Scope 3.1 CO2e
(kg CO2e/Einheit)]],"")</f>
        <v/>
      </c>
      <c r="V109" s="153" t="str">
        <f>IFERROR(Relevante_Stoffströme[[#This Row],[Wert 
(Zahl)]]*Relevante_Stoffströme[[#This Row],[EF Scope 3.5 CO2e
(kg CO2e/Einheit)2]],"")</f>
        <v/>
      </c>
    </row>
    <row r="110" spans="1:31" s="89" customFormat="1" x14ac:dyDescent="0.35">
      <c r="B110" s="616"/>
      <c r="C110" t="str">
        <f t="shared" si="3"/>
        <v>Relevante_Stoffströme</v>
      </c>
      <c r="D110" s="90"/>
      <c r="E110" s="90"/>
      <c r="F110" s="288"/>
      <c r="G110" s="10" t="str">
        <f>IFERROR(VLOOKUP(Relevante_Stoffströme[[#This Row],[Thema_Bezeichung]],EFs_3135[],4,FALSE),"")</f>
        <v/>
      </c>
      <c r="H110" s="90"/>
      <c r="I110" s="90"/>
      <c r="J110" s="90"/>
      <c r="K110" s="289" t="str">
        <f>IF(ISBLANK(Relevante_Stoffströme[[#This Row],[Wert 
(Zahl)]]),"",SUM(Relevante_Stoffströme[[#This Row],[Scope 1 CO2e '[kg CO2e']]:[Scope 3.5 CO2e '[kg CO2e']]]))</f>
        <v/>
      </c>
      <c r="L110" s="408"/>
      <c r="M110" s="408"/>
      <c r="N110" s="152" t="str">
        <f>IF(ISBLANK(Relevante_Stoffströme[[#This Row],[Emissionsquelle/Aktivität (Dropdown)]]),"",CONCATENATE(Relevante_Stoffströme[[#This Row],[Sektor_Thema]]," - ",Relevante_Stoffströme[[#This Row],[Emissionsquelle/Aktivität (Dropdown)]]))</f>
        <v/>
      </c>
      <c r="O110" s="153" t="str">
        <f>IFERROR(VLOOKUP(Relevante_Stoffströme[[#This Row],[Thema_Bezeichung]],EFs_3135[],5,FALSE),"")</f>
        <v/>
      </c>
      <c r="P110" s="153" t="str">
        <f>IFERROR(VLOOKUP(Relevante_Stoffströme[[#This Row],[Thema_Bezeichung]],EFs_3135[],6,FALSE),"")</f>
        <v/>
      </c>
      <c r="Q110" s="153" t="str">
        <f>IFERROR(VLOOKUP(Relevante_Stoffströme[[#This Row],[Thema_Bezeichung]],EFs_3135[],7,FALSE),"")</f>
        <v/>
      </c>
      <c r="R110" s="153" t="str">
        <f>IFERROR(VLOOKUP(Relevante_Stoffströme[[#This Row],[Thema_Bezeichung]],EFs_3135[],8,FALSE),"")</f>
        <v/>
      </c>
      <c r="S110" s="153" t="str">
        <f>IFERROR(Relevante_Stoffströme[[#This Row],[Wert 
(Zahl)]]*Relevante_Stoffströme[[#This Row],[EF Scope 1 CO2e
(kg CO2e/Einheit)]],"")</f>
        <v/>
      </c>
      <c r="T110" s="153" t="str">
        <f>IFERROR(Relevante_Stoffströme[[#This Row],[Wert 
(Zahl)]]*Relevante_Stoffströme[[#This Row],[EF Scope 2 CO2e
(kg CO2e/Einheit)]],"")</f>
        <v/>
      </c>
      <c r="U110" s="153" t="str">
        <f>IFERROR(Relevante_Stoffströme[[#This Row],[Wert 
(Zahl)]]*Relevante_Stoffströme[[#This Row],[EF Scope 3.1 CO2e
(kg CO2e/Einheit)]],"")</f>
        <v/>
      </c>
      <c r="V110" s="153" t="str">
        <f>IFERROR(Relevante_Stoffströme[[#This Row],[Wert 
(Zahl)]]*Relevante_Stoffströme[[#This Row],[EF Scope 3.5 CO2e
(kg CO2e/Einheit)2]],"")</f>
        <v/>
      </c>
    </row>
    <row r="111" spans="1:31" s="89" customFormat="1" x14ac:dyDescent="0.35">
      <c r="B111" s="616"/>
      <c r="C111" t="str">
        <f t="shared" si="3"/>
        <v>Relevante_Stoffströme</v>
      </c>
      <c r="D111" s="90"/>
      <c r="E111" s="90"/>
      <c r="F111" s="288"/>
      <c r="G111" s="10" t="str">
        <f>IFERROR(VLOOKUP(Relevante_Stoffströme[[#This Row],[Thema_Bezeichung]],EFs_3135[],4,FALSE),"")</f>
        <v/>
      </c>
      <c r="H111" s="90"/>
      <c r="I111" s="90"/>
      <c r="J111" s="90"/>
      <c r="K111" s="289" t="str">
        <f>IF(ISBLANK(Relevante_Stoffströme[[#This Row],[Wert 
(Zahl)]]),"",SUM(Relevante_Stoffströme[[#This Row],[Scope 1 CO2e '[kg CO2e']]:[Scope 3.5 CO2e '[kg CO2e']]]))</f>
        <v/>
      </c>
      <c r="L111" s="408"/>
      <c r="M111" s="408"/>
      <c r="N111" s="152" t="str">
        <f>IF(ISBLANK(Relevante_Stoffströme[[#This Row],[Emissionsquelle/Aktivität (Dropdown)]]),"",CONCATENATE(Relevante_Stoffströme[[#This Row],[Sektor_Thema]]," - ",Relevante_Stoffströme[[#This Row],[Emissionsquelle/Aktivität (Dropdown)]]))</f>
        <v/>
      </c>
      <c r="O111" s="153" t="str">
        <f>IFERROR(VLOOKUP(Relevante_Stoffströme[[#This Row],[Thema_Bezeichung]],EFs_3135[],5,FALSE),"")</f>
        <v/>
      </c>
      <c r="P111" s="153" t="str">
        <f>IFERROR(VLOOKUP(Relevante_Stoffströme[[#This Row],[Thema_Bezeichung]],EFs_3135[],6,FALSE),"")</f>
        <v/>
      </c>
      <c r="Q111" s="153" t="str">
        <f>IFERROR(VLOOKUP(Relevante_Stoffströme[[#This Row],[Thema_Bezeichung]],EFs_3135[],7,FALSE),"")</f>
        <v/>
      </c>
      <c r="R111" s="153" t="str">
        <f>IFERROR(VLOOKUP(Relevante_Stoffströme[[#This Row],[Thema_Bezeichung]],EFs_3135[],8,FALSE),"")</f>
        <v/>
      </c>
      <c r="S111" s="153" t="str">
        <f>IFERROR(Relevante_Stoffströme[[#This Row],[Wert 
(Zahl)]]*Relevante_Stoffströme[[#This Row],[EF Scope 1 CO2e
(kg CO2e/Einheit)]],"")</f>
        <v/>
      </c>
      <c r="T111" s="153" t="str">
        <f>IFERROR(Relevante_Stoffströme[[#This Row],[Wert 
(Zahl)]]*Relevante_Stoffströme[[#This Row],[EF Scope 2 CO2e
(kg CO2e/Einheit)]],"")</f>
        <v/>
      </c>
      <c r="U111" s="153" t="str">
        <f>IFERROR(Relevante_Stoffströme[[#This Row],[Wert 
(Zahl)]]*Relevante_Stoffströme[[#This Row],[EF Scope 3.1 CO2e
(kg CO2e/Einheit)]],"")</f>
        <v/>
      </c>
      <c r="V111" s="153" t="str">
        <f>IFERROR(Relevante_Stoffströme[[#This Row],[Wert 
(Zahl)]]*Relevante_Stoffströme[[#This Row],[EF Scope 3.5 CO2e
(kg CO2e/Einheit)2]],"")</f>
        <v/>
      </c>
    </row>
    <row r="112" spans="1:31" s="89" customFormat="1" x14ac:dyDescent="0.35">
      <c r="B112" s="616"/>
      <c r="C112" t="str">
        <f t="shared" si="3"/>
        <v>Relevante_Stoffströme</v>
      </c>
      <c r="D112" s="90"/>
      <c r="E112" s="90"/>
      <c r="F112" s="288"/>
      <c r="G112" s="10" t="str">
        <f>IFERROR(VLOOKUP(Relevante_Stoffströme[[#This Row],[Thema_Bezeichung]],EFs_3135[],4,FALSE),"")</f>
        <v/>
      </c>
      <c r="H112" s="90"/>
      <c r="I112" s="90"/>
      <c r="J112" s="90"/>
      <c r="K112" s="289" t="str">
        <f>IF(ISBLANK(Relevante_Stoffströme[[#This Row],[Wert 
(Zahl)]]),"",SUM(Relevante_Stoffströme[[#This Row],[Scope 1 CO2e '[kg CO2e']]:[Scope 3.5 CO2e '[kg CO2e']]]))</f>
        <v/>
      </c>
      <c r="L112" s="408"/>
      <c r="M112" s="408"/>
      <c r="N112" s="152" t="str">
        <f>IF(ISBLANK(Relevante_Stoffströme[[#This Row],[Emissionsquelle/Aktivität (Dropdown)]]),"",CONCATENATE(Relevante_Stoffströme[[#This Row],[Sektor_Thema]]," - ",Relevante_Stoffströme[[#This Row],[Emissionsquelle/Aktivität (Dropdown)]]))</f>
        <v/>
      </c>
      <c r="O112" s="153" t="str">
        <f>IFERROR(VLOOKUP(Relevante_Stoffströme[[#This Row],[Thema_Bezeichung]],EFs_3135[],5,FALSE),"")</f>
        <v/>
      </c>
      <c r="P112" s="153" t="str">
        <f>IFERROR(VLOOKUP(Relevante_Stoffströme[[#This Row],[Thema_Bezeichung]],EFs_3135[],6,FALSE),"")</f>
        <v/>
      </c>
      <c r="Q112" s="153" t="str">
        <f>IFERROR(VLOOKUP(Relevante_Stoffströme[[#This Row],[Thema_Bezeichung]],EFs_3135[],7,FALSE),"")</f>
        <v/>
      </c>
      <c r="R112" s="153" t="str">
        <f>IFERROR(VLOOKUP(Relevante_Stoffströme[[#This Row],[Thema_Bezeichung]],EFs_3135[],8,FALSE),"")</f>
        <v/>
      </c>
      <c r="S112" s="153" t="str">
        <f>IFERROR(Relevante_Stoffströme[[#This Row],[Wert 
(Zahl)]]*Relevante_Stoffströme[[#This Row],[EF Scope 1 CO2e
(kg CO2e/Einheit)]],"")</f>
        <v/>
      </c>
      <c r="T112" s="153" t="str">
        <f>IFERROR(Relevante_Stoffströme[[#This Row],[Wert 
(Zahl)]]*Relevante_Stoffströme[[#This Row],[EF Scope 2 CO2e
(kg CO2e/Einheit)]],"")</f>
        <v/>
      </c>
      <c r="U112" s="153" t="str">
        <f>IFERROR(Relevante_Stoffströme[[#This Row],[Wert 
(Zahl)]]*Relevante_Stoffströme[[#This Row],[EF Scope 3.1 CO2e
(kg CO2e/Einheit)]],"")</f>
        <v/>
      </c>
      <c r="V112" s="153" t="str">
        <f>IFERROR(Relevante_Stoffströme[[#This Row],[Wert 
(Zahl)]]*Relevante_Stoffströme[[#This Row],[EF Scope 3.5 CO2e
(kg CO2e/Einheit)2]],"")</f>
        <v/>
      </c>
    </row>
    <row r="113" spans="2:22" s="89" customFormat="1" x14ac:dyDescent="0.35">
      <c r="B113" s="616"/>
      <c r="C113" t="str">
        <f t="shared" si="3"/>
        <v>Relevante_Stoffströme</v>
      </c>
      <c r="D113" s="90"/>
      <c r="E113" s="90"/>
      <c r="F113" s="288"/>
      <c r="G113" s="10" t="str">
        <f>IFERROR(VLOOKUP(Relevante_Stoffströme[[#This Row],[Thema_Bezeichung]],EFs_3135[],4,FALSE),"")</f>
        <v/>
      </c>
      <c r="H113" s="90"/>
      <c r="I113" s="90"/>
      <c r="J113" s="90"/>
      <c r="K113" s="289" t="str">
        <f>IF(ISBLANK(Relevante_Stoffströme[[#This Row],[Wert 
(Zahl)]]),"",SUM(Relevante_Stoffströme[[#This Row],[Scope 1 CO2e '[kg CO2e']]:[Scope 3.5 CO2e '[kg CO2e']]]))</f>
        <v/>
      </c>
      <c r="L113" s="408"/>
      <c r="M113" s="408"/>
      <c r="N113" s="152" t="str">
        <f>IF(ISBLANK(Relevante_Stoffströme[[#This Row],[Emissionsquelle/Aktivität (Dropdown)]]),"",CONCATENATE(Relevante_Stoffströme[[#This Row],[Sektor_Thema]]," - ",Relevante_Stoffströme[[#This Row],[Emissionsquelle/Aktivität (Dropdown)]]))</f>
        <v/>
      </c>
      <c r="O113" s="153" t="str">
        <f>IFERROR(VLOOKUP(Relevante_Stoffströme[[#This Row],[Thema_Bezeichung]],EFs_3135[],5,FALSE),"")</f>
        <v/>
      </c>
      <c r="P113" s="153" t="str">
        <f>IFERROR(VLOOKUP(Relevante_Stoffströme[[#This Row],[Thema_Bezeichung]],EFs_3135[],6,FALSE),"")</f>
        <v/>
      </c>
      <c r="Q113" s="153" t="str">
        <f>IFERROR(VLOOKUP(Relevante_Stoffströme[[#This Row],[Thema_Bezeichung]],EFs_3135[],7,FALSE),"")</f>
        <v/>
      </c>
      <c r="R113" s="153" t="str">
        <f>IFERROR(VLOOKUP(Relevante_Stoffströme[[#This Row],[Thema_Bezeichung]],EFs_3135[],8,FALSE),"")</f>
        <v/>
      </c>
      <c r="S113" s="153" t="str">
        <f>IFERROR(Relevante_Stoffströme[[#This Row],[Wert 
(Zahl)]]*Relevante_Stoffströme[[#This Row],[EF Scope 1 CO2e
(kg CO2e/Einheit)]],"")</f>
        <v/>
      </c>
      <c r="T113" s="153" t="str">
        <f>IFERROR(Relevante_Stoffströme[[#This Row],[Wert 
(Zahl)]]*Relevante_Stoffströme[[#This Row],[EF Scope 2 CO2e
(kg CO2e/Einheit)]],"")</f>
        <v/>
      </c>
      <c r="U113" s="153" t="str">
        <f>IFERROR(Relevante_Stoffströme[[#This Row],[Wert 
(Zahl)]]*Relevante_Stoffströme[[#This Row],[EF Scope 3.1 CO2e
(kg CO2e/Einheit)]],"")</f>
        <v/>
      </c>
      <c r="V113" s="153" t="str">
        <f>IFERROR(Relevante_Stoffströme[[#This Row],[Wert 
(Zahl)]]*Relevante_Stoffströme[[#This Row],[EF Scope 3.5 CO2e
(kg CO2e/Einheit)2]],"")</f>
        <v/>
      </c>
    </row>
    <row r="114" spans="2:22" s="89" customFormat="1" x14ac:dyDescent="0.35">
      <c r="B114" s="616"/>
      <c r="C114" t="str">
        <f t="shared" si="3"/>
        <v>Relevante_Stoffströme</v>
      </c>
      <c r="D114" s="90"/>
      <c r="E114" s="90"/>
      <c r="F114" s="288"/>
      <c r="G114" s="10" t="str">
        <f>IFERROR(VLOOKUP(Relevante_Stoffströme[[#This Row],[Thema_Bezeichung]],EFs_3135[],4,FALSE),"")</f>
        <v/>
      </c>
      <c r="H114" s="90"/>
      <c r="I114" s="90"/>
      <c r="J114" s="90"/>
      <c r="K114" s="289" t="str">
        <f>IF(ISBLANK(Relevante_Stoffströme[[#This Row],[Wert 
(Zahl)]]),"",SUM(Relevante_Stoffströme[[#This Row],[Scope 1 CO2e '[kg CO2e']]:[Scope 3.5 CO2e '[kg CO2e']]]))</f>
        <v/>
      </c>
      <c r="L114" s="408"/>
      <c r="M114" s="408"/>
      <c r="N114" s="152" t="str">
        <f>IF(ISBLANK(Relevante_Stoffströme[[#This Row],[Emissionsquelle/Aktivität (Dropdown)]]),"",CONCATENATE(Relevante_Stoffströme[[#This Row],[Sektor_Thema]]," - ",Relevante_Stoffströme[[#This Row],[Emissionsquelle/Aktivität (Dropdown)]]))</f>
        <v/>
      </c>
      <c r="O114" s="153" t="str">
        <f>IFERROR(VLOOKUP(Relevante_Stoffströme[[#This Row],[Thema_Bezeichung]],EFs_3135[],5,FALSE),"")</f>
        <v/>
      </c>
      <c r="P114" s="153" t="str">
        <f>IFERROR(VLOOKUP(Relevante_Stoffströme[[#This Row],[Thema_Bezeichung]],EFs_3135[],6,FALSE),"")</f>
        <v/>
      </c>
      <c r="Q114" s="153" t="str">
        <f>IFERROR(VLOOKUP(Relevante_Stoffströme[[#This Row],[Thema_Bezeichung]],EFs_3135[],7,FALSE),"")</f>
        <v/>
      </c>
      <c r="R114" s="153" t="str">
        <f>IFERROR(VLOOKUP(Relevante_Stoffströme[[#This Row],[Thema_Bezeichung]],EFs_3135[],8,FALSE),"")</f>
        <v/>
      </c>
      <c r="S114" s="153" t="str">
        <f>IFERROR(Relevante_Stoffströme[[#This Row],[Wert 
(Zahl)]]*Relevante_Stoffströme[[#This Row],[EF Scope 1 CO2e
(kg CO2e/Einheit)]],"")</f>
        <v/>
      </c>
      <c r="T114" s="153" t="str">
        <f>IFERROR(Relevante_Stoffströme[[#This Row],[Wert 
(Zahl)]]*Relevante_Stoffströme[[#This Row],[EF Scope 2 CO2e
(kg CO2e/Einheit)]],"")</f>
        <v/>
      </c>
      <c r="U114" s="153" t="str">
        <f>IFERROR(Relevante_Stoffströme[[#This Row],[Wert 
(Zahl)]]*Relevante_Stoffströme[[#This Row],[EF Scope 3.1 CO2e
(kg CO2e/Einheit)]],"")</f>
        <v/>
      </c>
      <c r="V114" s="153" t="str">
        <f>IFERROR(Relevante_Stoffströme[[#This Row],[Wert 
(Zahl)]]*Relevante_Stoffströme[[#This Row],[EF Scope 3.5 CO2e
(kg CO2e/Einheit)2]],"")</f>
        <v/>
      </c>
    </row>
    <row r="115" spans="2:22" s="89" customFormat="1" x14ac:dyDescent="0.35">
      <c r="B115" s="616"/>
      <c r="C115" t="str">
        <f t="shared" si="3"/>
        <v>Relevante_Stoffströme</v>
      </c>
      <c r="D115" s="90"/>
      <c r="E115" s="90"/>
      <c r="F115" s="288"/>
      <c r="G115" s="10" t="str">
        <f>IFERROR(VLOOKUP(Relevante_Stoffströme[[#This Row],[Thema_Bezeichung]],EFs_3135[],4,FALSE),"")</f>
        <v/>
      </c>
      <c r="H115" s="90"/>
      <c r="I115" s="90"/>
      <c r="J115" s="90"/>
      <c r="K115" s="289" t="str">
        <f>IF(ISBLANK(Relevante_Stoffströme[[#This Row],[Wert 
(Zahl)]]),"",SUM(Relevante_Stoffströme[[#This Row],[Scope 1 CO2e '[kg CO2e']]:[Scope 3.5 CO2e '[kg CO2e']]]))</f>
        <v/>
      </c>
      <c r="L115" s="408"/>
      <c r="M115" s="408"/>
      <c r="N115" s="152" t="str">
        <f>IF(ISBLANK(Relevante_Stoffströme[[#This Row],[Emissionsquelle/Aktivität (Dropdown)]]),"",CONCATENATE(Relevante_Stoffströme[[#This Row],[Sektor_Thema]]," - ",Relevante_Stoffströme[[#This Row],[Emissionsquelle/Aktivität (Dropdown)]]))</f>
        <v/>
      </c>
      <c r="O115" s="153" t="str">
        <f>IFERROR(VLOOKUP(Relevante_Stoffströme[[#This Row],[Thema_Bezeichung]],EFs_3135[],5,FALSE),"")</f>
        <v/>
      </c>
      <c r="P115" s="153" t="str">
        <f>IFERROR(VLOOKUP(Relevante_Stoffströme[[#This Row],[Thema_Bezeichung]],EFs_3135[],6,FALSE),"")</f>
        <v/>
      </c>
      <c r="Q115" s="153" t="str">
        <f>IFERROR(VLOOKUP(Relevante_Stoffströme[[#This Row],[Thema_Bezeichung]],EFs_3135[],7,FALSE),"")</f>
        <v/>
      </c>
      <c r="R115" s="153" t="str">
        <f>IFERROR(VLOOKUP(Relevante_Stoffströme[[#This Row],[Thema_Bezeichung]],EFs_3135[],8,FALSE),"")</f>
        <v/>
      </c>
      <c r="S115" s="153" t="str">
        <f>IFERROR(Relevante_Stoffströme[[#This Row],[Wert 
(Zahl)]]*Relevante_Stoffströme[[#This Row],[EF Scope 1 CO2e
(kg CO2e/Einheit)]],"")</f>
        <v/>
      </c>
      <c r="T115" s="153" t="str">
        <f>IFERROR(Relevante_Stoffströme[[#This Row],[Wert 
(Zahl)]]*Relevante_Stoffströme[[#This Row],[EF Scope 2 CO2e
(kg CO2e/Einheit)]],"")</f>
        <v/>
      </c>
      <c r="U115" s="153" t="str">
        <f>IFERROR(Relevante_Stoffströme[[#This Row],[Wert 
(Zahl)]]*Relevante_Stoffströme[[#This Row],[EF Scope 3.1 CO2e
(kg CO2e/Einheit)]],"")</f>
        <v/>
      </c>
      <c r="V115" s="153" t="str">
        <f>IFERROR(Relevante_Stoffströme[[#This Row],[Wert 
(Zahl)]]*Relevante_Stoffströme[[#This Row],[EF Scope 3.5 CO2e
(kg CO2e/Einheit)2]],"")</f>
        <v/>
      </c>
    </row>
    <row r="116" spans="2:22" s="89" customFormat="1" x14ac:dyDescent="0.35">
      <c r="B116" s="616"/>
      <c r="C116" t="str">
        <f t="shared" si="3"/>
        <v>Relevante_Stoffströme</v>
      </c>
      <c r="D116" s="90"/>
      <c r="E116" s="90"/>
      <c r="F116" s="288"/>
      <c r="G116" s="10" t="str">
        <f>IFERROR(VLOOKUP(Relevante_Stoffströme[[#This Row],[Thema_Bezeichung]],EFs_3135[],4,FALSE),"")</f>
        <v/>
      </c>
      <c r="H116" s="90"/>
      <c r="I116" s="90"/>
      <c r="J116" s="90"/>
      <c r="K116" s="289" t="str">
        <f>IF(ISBLANK(Relevante_Stoffströme[[#This Row],[Wert 
(Zahl)]]),"",SUM(Relevante_Stoffströme[[#This Row],[Scope 1 CO2e '[kg CO2e']]:[Scope 3.5 CO2e '[kg CO2e']]]))</f>
        <v/>
      </c>
      <c r="L116" s="408"/>
      <c r="M116" s="408"/>
      <c r="N116" s="152" t="str">
        <f>IF(ISBLANK(Relevante_Stoffströme[[#This Row],[Emissionsquelle/Aktivität (Dropdown)]]),"",CONCATENATE(Relevante_Stoffströme[[#This Row],[Sektor_Thema]]," - ",Relevante_Stoffströme[[#This Row],[Emissionsquelle/Aktivität (Dropdown)]]))</f>
        <v/>
      </c>
      <c r="O116" s="153" t="str">
        <f>IFERROR(VLOOKUP(Relevante_Stoffströme[[#This Row],[Thema_Bezeichung]],EFs_3135[],5,FALSE),"")</f>
        <v/>
      </c>
      <c r="P116" s="153" t="str">
        <f>IFERROR(VLOOKUP(Relevante_Stoffströme[[#This Row],[Thema_Bezeichung]],EFs_3135[],6,FALSE),"")</f>
        <v/>
      </c>
      <c r="Q116" s="153" t="str">
        <f>IFERROR(VLOOKUP(Relevante_Stoffströme[[#This Row],[Thema_Bezeichung]],EFs_3135[],7,FALSE),"")</f>
        <v/>
      </c>
      <c r="R116" s="153" t="str">
        <f>IFERROR(VLOOKUP(Relevante_Stoffströme[[#This Row],[Thema_Bezeichung]],EFs_3135[],8,FALSE),"")</f>
        <v/>
      </c>
      <c r="S116" s="153" t="str">
        <f>IFERROR(Relevante_Stoffströme[[#This Row],[Wert 
(Zahl)]]*Relevante_Stoffströme[[#This Row],[EF Scope 1 CO2e
(kg CO2e/Einheit)]],"")</f>
        <v/>
      </c>
      <c r="T116" s="153" t="str">
        <f>IFERROR(Relevante_Stoffströme[[#This Row],[Wert 
(Zahl)]]*Relevante_Stoffströme[[#This Row],[EF Scope 2 CO2e
(kg CO2e/Einheit)]],"")</f>
        <v/>
      </c>
      <c r="U116" s="153" t="str">
        <f>IFERROR(Relevante_Stoffströme[[#This Row],[Wert 
(Zahl)]]*Relevante_Stoffströme[[#This Row],[EF Scope 3.1 CO2e
(kg CO2e/Einheit)]],"")</f>
        <v/>
      </c>
      <c r="V116" s="153" t="str">
        <f>IFERROR(Relevante_Stoffströme[[#This Row],[Wert 
(Zahl)]]*Relevante_Stoffströme[[#This Row],[EF Scope 3.5 CO2e
(kg CO2e/Einheit)2]],"")</f>
        <v/>
      </c>
    </row>
    <row r="117" spans="2:22" s="89" customFormat="1" x14ac:dyDescent="0.35">
      <c r="B117" s="616"/>
      <c r="C117" t="str">
        <f t="shared" si="3"/>
        <v>Relevante_Stoffströme</v>
      </c>
      <c r="D117" s="90"/>
      <c r="E117" s="90"/>
      <c r="F117" s="288"/>
      <c r="G117" s="10" t="str">
        <f>IFERROR(VLOOKUP(Relevante_Stoffströme[[#This Row],[Thema_Bezeichung]],EFs_3135[],4,FALSE),"")</f>
        <v/>
      </c>
      <c r="H117" s="90"/>
      <c r="I117" s="90"/>
      <c r="J117" s="90"/>
      <c r="K117" s="289" t="str">
        <f>IF(ISBLANK(Relevante_Stoffströme[[#This Row],[Wert 
(Zahl)]]),"",SUM(Relevante_Stoffströme[[#This Row],[Scope 1 CO2e '[kg CO2e']]:[Scope 3.5 CO2e '[kg CO2e']]]))</f>
        <v/>
      </c>
      <c r="L117" s="408"/>
      <c r="M117" s="408"/>
      <c r="N117" s="152" t="str">
        <f>IF(ISBLANK(Relevante_Stoffströme[[#This Row],[Emissionsquelle/Aktivität (Dropdown)]]),"",CONCATENATE(Relevante_Stoffströme[[#This Row],[Sektor_Thema]]," - ",Relevante_Stoffströme[[#This Row],[Emissionsquelle/Aktivität (Dropdown)]]))</f>
        <v/>
      </c>
      <c r="O117" s="153" t="str">
        <f>IFERROR(VLOOKUP(Relevante_Stoffströme[[#This Row],[Thema_Bezeichung]],EFs_3135[],5,FALSE),"")</f>
        <v/>
      </c>
      <c r="P117" s="153" t="str">
        <f>IFERROR(VLOOKUP(Relevante_Stoffströme[[#This Row],[Thema_Bezeichung]],EFs_3135[],6,FALSE),"")</f>
        <v/>
      </c>
      <c r="Q117" s="153" t="str">
        <f>IFERROR(VLOOKUP(Relevante_Stoffströme[[#This Row],[Thema_Bezeichung]],EFs_3135[],7,FALSE),"")</f>
        <v/>
      </c>
      <c r="R117" s="153" t="str">
        <f>IFERROR(VLOOKUP(Relevante_Stoffströme[[#This Row],[Thema_Bezeichung]],EFs_3135[],8,FALSE),"")</f>
        <v/>
      </c>
      <c r="S117" s="153" t="str">
        <f>IFERROR(Relevante_Stoffströme[[#This Row],[Wert 
(Zahl)]]*Relevante_Stoffströme[[#This Row],[EF Scope 1 CO2e
(kg CO2e/Einheit)]],"")</f>
        <v/>
      </c>
      <c r="T117" s="153" t="str">
        <f>IFERROR(Relevante_Stoffströme[[#This Row],[Wert 
(Zahl)]]*Relevante_Stoffströme[[#This Row],[EF Scope 2 CO2e
(kg CO2e/Einheit)]],"")</f>
        <v/>
      </c>
      <c r="U117" s="153" t="str">
        <f>IFERROR(Relevante_Stoffströme[[#This Row],[Wert 
(Zahl)]]*Relevante_Stoffströme[[#This Row],[EF Scope 3.1 CO2e
(kg CO2e/Einheit)]],"")</f>
        <v/>
      </c>
      <c r="V117" s="153" t="str">
        <f>IFERROR(Relevante_Stoffströme[[#This Row],[Wert 
(Zahl)]]*Relevante_Stoffströme[[#This Row],[EF Scope 3.5 CO2e
(kg CO2e/Einheit)2]],"")</f>
        <v/>
      </c>
    </row>
    <row r="118" spans="2:22" s="89" customFormat="1" x14ac:dyDescent="0.35">
      <c r="B118" s="616"/>
      <c r="C118" t="str">
        <f t="shared" si="3"/>
        <v>Relevante_Stoffströme</v>
      </c>
      <c r="D118" s="90"/>
      <c r="E118" s="90"/>
      <c r="F118" s="288"/>
      <c r="G118" s="10" t="str">
        <f>IFERROR(VLOOKUP(Relevante_Stoffströme[[#This Row],[Thema_Bezeichung]],EFs_3135[],4,FALSE),"")</f>
        <v/>
      </c>
      <c r="H118" s="90"/>
      <c r="I118" s="90"/>
      <c r="J118" s="90"/>
      <c r="K118" s="289" t="str">
        <f>IF(ISBLANK(Relevante_Stoffströme[[#This Row],[Wert 
(Zahl)]]),"",SUM(Relevante_Stoffströme[[#This Row],[Scope 1 CO2e '[kg CO2e']]:[Scope 3.5 CO2e '[kg CO2e']]]))</f>
        <v/>
      </c>
      <c r="L118" s="408"/>
      <c r="M118" s="408"/>
      <c r="N118" s="152" t="str">
        <f>IF(ISBLANK(Relevante_Stoffströme[[#This Row],[Emissionsquelle/Aktivität (Dropdown)]]),"",CONCATENATE(Relevante_Stoffströme[[#This Row],[Sektor_Thema]]," - ",Relevante_Stoffströme[[#This Row],[Emissionsquelle/Aktivität (Dropdown)]]))</f>
        <v/>
      </c>
      <c r="O118" s="153" t="str">
        <f>IFERROR(VLOOKUP(Relevante_Stoffströme[[#This Row],[Thema_Bezeichung]],EFs_3135[],5,FALSE),"")</f>
        <v/>
      </c>
      <c r="P118" s="153" t="str">
        <f>IFERROR(VLOOKUP(Relevante_Stoffströme[[#This Row],[Thema_Bezeichung]],EFs_3135[],6,FALSE),"")</f>
        <v/>
      </c>
      <c r="Q118" s="153" t="str">
        <f>IFERROR(VLOOKUP(Relevante_Stoffströme[[#This Row],[Thema_Bezeichung]],EFs_3135[],7,FALSE),"")</f>
        <v/>
      </c>
      <c r="R118" s="153" t="str">
        <f>IFERROR(VLOOKUP(Relevante_Stoffströme[[#This Row],[Thema_Bezeichung]],EFs_3135[],8,FALSE),"")</f>
        <v/>
      </c>
      <c r="S118" s="153" t="str">
        <f>IFERROR(Relevante_Stoffströme[[#This Row],[Wert 
(Zahl)]]*Relevante_Stoffströme[[#This Row],[EF Scope 1 CO2e
(kg CO2e/Einheit)]],"")</f>
        <v/>
      </c>
      <c r="T118" s="153" t="str">
        <f>IFERROR(Relevante_Stoffströme[[#This Row],[Wert 
(Zahl)]]*Relevante_Stoffströme[[#This Row],[EF Scope 2 CO2e
(kg CO2e/Einheit)]],"")</f>
        <v/>
      </c>
      <c r="U118" s="153" t="str">
        <f>IFERROR(Relevante_Stoffströme[[#This Row],[Wert 
(Zahl)]]*Relevante_Stoffströme[[#This Row],[EF Scope 3.1 CO2e
(kg CO2e/Einheit)]],"")</f>
        <v/>
      </c>
      <c r="V118" s="153" t="str">
        <f>IFERROR(Relevante_Stoffströme[[#This Row],[Wert 
(Zahl)]]*Relevante_Stoffströme[[#This Row],[EF Scope 3.5 CO2e
(kg CO2e/Einheit)2]],"")</f>
        <v/>
      </c>
    </row>
    <row r="119" spans="2:22" s="89" customFormat="1" x14ac:dyDescent="0.35">
      <c r="B119" s="616"/>
      <c r="C119" t="str">
        <f t="shared" si="3"/>
        <v>Relevante_Stoffströme</v>
      </c>
      <c r="D119" s="90"/>
      <c r="E119" s="90"/>
      <c r="F119" s="288"/>
      <c r="G119" s="10" t="str">
        <f>IFERROR(VLOOKUP(Relevante_Stoffströme[[#This Row],[Thema_Bezeichung]],EFs_3135[],4,FALSE),"")</f>
        <v/>
      </c>
      <c r="H119" s="90"/>
      <c r="I119" s="90"/>
      <c r="J119" s="90"/>
      <c r="K119" s="289" t="str">
        <f>IF(ISBLANK(Relevante_Stoffströme[[#This Row],[Wert 
(Zahl)]]),"",SUM(Relevante_Stoffströme[[#This Row],[Scope 1 CO2e '[kg CO2e']]:[Scope 3.5 CO2e '[kg CO2e']]]))</f>
        <v/>
      </c>
      <c r="L119" s="408"/>
      <c r="M119" s="408"/>
      <c r="N119" s="152" t="str">
        <f>IF(ISBLANK(Relevante_Stoffströme[[#This Row],[Emissionsquelle/Aktivität (Dropdown)]]),"",CONCATENATE(Relevante_Stoffströme[[#This Row],[Sektor_Thema]]," - ",Relevante_Stoffströme[[#This Row],[Emissionsquelle/Aktivität (Dropdown)]]))</f>
        <v/>
      </c>
      <c r="O119" s="153" t="str">
        <f>IFERROR(VLOOKUP(Relevante_Stoffströme[[#This Row],[Thema_Bezeichung]],EFs_3135[],5,FALSE),"")</f>
        <v/>
      </c>
      <c r="P119" s="153" t="str">
        <f>IFERROR(VLOOKUP(Relevante_Stoffströme[[#This Row],[Thema_Bezeichung]],EFs_3135[],6,FALSE),"")</f>
        <v/>
      </c>
      <c r="Q119" s="153" t="str">
        <f>IFERROR(VLOOKUP(Relevante_Stoffströme[[#This Row],[Thema_Bezeichung]],EFs_3135[],7,FALSE),"")</f>
        <v/>
      </c>
      <c r="R119" s="153" t="str">
        <f>IFERROR(VLOOKUP(Relevante_Stoffströme[[#This Row],[Thema_Bezeichung]],EFs_3135[],8,FALSE),"")</f>
        <v/>
      </c>
      <c r="S119" s="153" t="str">
        <f>IFERROR(Relevante_Stoffströme[[#This Row],[Wert 
(Zahl)]]*Relevante_Stoffströme[[#This Row],[EF Scope 1 CO2e
(kg CO2e/Einheit)]],"")</f>
        <v/>
      </c>
      <c r="T119" s="153" t="str">
        <f>IFERROR(Relevante_Stoffströme[[#This Row],[Wert 
(Zahl)]]*Relevante_Stoffströme[[#This Row],[EF Scope 2 CO2e
(kg CO2e/Einheit)]],"")</f>
        <v/>
      </c>
      <c r="U119" s="153" t="str">
        <f>IFERROR(Relevante_Stoffströme[[#This Row],[Wert 
(Zahl)]]*Relevante_Stoffströme[[#This Row],[EF Scope 3.1 CO2e
(kg CO2e/Einheit)]],"")</f>
        <v/>
      </c>
      <c r="V119" s="153" t="str">
        <f>IFERROR(Relevante_Stoffströme[[#This Row],[Wert 
(Zahl)]]*Relevante_Stoffströme[[#This Row],[EF Scope 3.5 CO2e
(kg CO2e/Einheit)2]],"")</f>
        <v/>
      </c>
    </row>
    <row r="120" spans="2:22" s="89" customFormat="1" x14ac:dyDescent="0.35">
      <c r="B120" s="616"/>
      <c r="C120" t="str">
        <f t="shared" si="3"/>
        <v>Relevante_Stoffströme</v>
      </c>
      <c r="D120" s="90"/>
      <c r="E120" s="90"/>
      <c r="F120" s="288"/>
      <c r="G120" s="10" t="str">
        <f>IFERROR(VLOOKUP(Relevante_Stoffströme[[#This Row],[Thema_Bezeichung]],EFs_3135[],4,FALSE),"")</f>
        <v/>
      </c>
      <c r="H120" s="90"/>
      <c r="I120" s="90"/>
      <c r="J120" s="90"/>
      <c r="K120" s="289" t="str">
        <f>IF(ISBLANK(Relevante_Stoffströme[[#This Row],[Wert 
(Zahl)]]),"",SUM(Relevante_Stoffströme[[#This Row],[Scope 1 CO2e '[kg CO2e']]:[Scope 3.5 CO2e '[kg CO2e']]]))</f>
        <v/>
      </c>
      <c r="L120" s="408"/>
      <c r="M120" s="408"/>
      <c r="N120" s="152" t="str">
        <f>IF(ISBLANK(Relevante_Stoffströme[[#This Row],[Emissionsquelle/Aktivität (Dropdown)]]),"",CONCATENATE(Relevante_Stoffströme[[#This Row],[Sektor_Thema]]," - ",Relevante_Stoffströme[[#This Row],[Emissionsquelle/Aktivität (Dropdown)]]))</f>
        <v/>
      </c>
      <c r="O120" s="153" t="str">
        <f>IFERROR(VLOOKUP(Relevante_Stoffströme[[#This Row],[Thema_Bezeichung]],EFs_3135[],5,FALSE),"")</f>
        <v/>
      </c>
      <c r="P120" s="153" t="str">
        <f>IFERROR(VLOOKUP(Relevante_Stoffströme[[#This Row],[Thema_Bezeichung]],EFs_3135[],6,FALSE),"")</f>
        <v/>
      </c>
      <c r="Q120" s="153" t="str">
        <f>IFERROR(VLOOKUP(Relevante_Stoffströme[[#This Row],[Thema_Bezeichung]],EFs_3135[],7,FALSE),"")</f>
        <v/>
      </c>
      <c r="R120" s="153" t="str">
        <f>IFERROR(VLOOKUP(Relevante_Stoffströme[[#This Row],[Thema_Bezeichung]],EFs_3135[],8,FALSE),"")</f>
        <v/>
      </c>
      <c r="S120" s="153" t="str">
        <f>IFERROR(Relevante_Stoffströme[[#This Row],[Wert 
(Zahl)]]*Relevante_Stoffströme[[#This Row],[EF Scope 1 CO2e
(kg CO2e/Einheit)]],"")</f>
        <v/>
      </c>
      <c r="T120" s="153" t="str">
        <f>IFERROR(Relevante_Stoffströme[[#This Row],[Wert 
(Zahl)]]*Relevante_Stoffströme[[#This Row],[EF Scope 2 CO2e
(kg CO2e/Einheit)]],"")</f>
        <v/>
      </c>
      <c r="U120" s="153" t="str">
        <f>IFERROR(Relevante_Stoffströme[[#This Row],[Wert 
(Zahl)]]*Relevante_Stoffströme[[#This Row],[EF Scope 3.1 CO2e
(kg CO2e/Einheit)]],"")</f>
        <v/>
      </c>
      <c r="V120" s="153" t="str">
        <f>IFERROR(Relevante_Stoffströme[[#This Row],[Wert 
(Zahl)]]*Relevante_Stoffströme[[#This Row],[EF Scope 3.5 CO2e
(kg CO2e/Einheit)2]],"")</f>
        <v/>
      </c>
    </row>
    <row r="121" spans="2:22" s="89" customFormat="1" x14ac:dyDescent="0.35">
      <c r="B121" s="616"/>
      <c r="C121" s="89" t="str">
        <f t="shared" si="3"/>
        <v>Relevante_Stoffströme</v>
      </c>
      <c r="D121" s="90"/>
      <c r="E121" s="90"/>
      <c r="F121" s="288"/>
      <c r="G121" s="90" t="str">
        <f>IFERROR(VLOOKUP(Relevante_Stoffströme[[#This Row],[Thema_Bezeichung]],EFs_3135[],4,FALSE),"")</f>
        <v/>
      </c>
      <c r="H121" s="90"/>
      <c r="I121" s="90"/>
      <c r="J121" s="90"/>
      <c r="K121" s="290" t="str">
        <f>IF(ISBLANK(Relevante_Stoffströme[[#This Row],[Wert 
(Zahl)]]),"",SUM(Relevante_Stoffströme[[#This Row],[Scope 1 CO2e '[kg CO2e']]:[Scope 3.5 CO2e '[kg CO2e']]]))</f>
        <v/>
      </c>
      <c r="L121" s="409"/>
      <c r="M121" s="409"/>
      <c r="N121" s="154" t="str">
        <f>IF(ISBLANK(Relevante_Stoffströme[[#This Row],[Emissionsquelle/Aktivität (Dropdown)]]),"",CONCATENATE(Relevante_Stoffströme[[#This Row],[Sektor_Thema]]," - ",Relevante_Stoffströme[[#This Row],[Emissionsquelle/Aktivität (Dropdown)]]))</f>
        <v/>
      </c>
      <c r="O121" s="155" t="str">
        <f>IFERROR(VLOOKUP(Relevante_Stoffströme[[#This Row],[Thema_Bezeichung]],EFs_3135[],5,FALSE),"")</f>
        <v/>
      </c>
      <c r="P121" s="155" t="str">
        <f>IFERROR(VLOOKUP(Relevante_Stoffströme[[#This Row],[Thema_Bezeichung]],EFs_3135[],6,FALSE),"")</f>
        <v/>
      </c>
      <c r="Q121" s="155" t="str">
        <f>IFERROR(VLOOKUP(Relevante_Stoffströme[[#This Row],[Thema_Bezeichung]],EFs_3135[],7,FALSE),"")</f>
        <v/>
      </c>
      <c r="R121" s="155" t="str">
        <f>IFERROR(VLOOKUP(Relevante_Stoffströme[[#This Row],[Thema_Bezeichung]],EFs_3135[],8,FALSE),"")</f>
        <v/>
      </c>
      <c r="S121" s="155" t="str">
        <f>IFERROR(Relevante_Stoffströme[[#This Row],[Wert 
(Zahl)]]*Relevante_Stoffströme[[#This Row],[EF Scope 1 CO2e
(kg CO2e/Einheit)]],"")</f>
        <v/>
      </c>
      <c r="T121" s="155" t="str">
        <f>IFERROR(Relevante_Stoffströme[[#This Row],[Wert 
(Zahl)]]*Relevante_Stoffströme[[#This Row],[EF Scope 2 CO2e
(kg CO2e/Einheit)]],"")</f>
        <v/>
      </c>
      <c r="U121" s="155" t="str">
        <f>IFERROR(Relevante_Stoffströme[[#This Row],[Wert 
(Zahl)]]*Relevante_Stoffströme[[#This Row],[EF Scope 3.1 CO2e
(kg CO2e/Einheit)]],"")</f>
        <v/>
      </c>
      <c r="V121" s="155" t="str">
        <f>IFERROR(Relevante_Stoffströme[[#This Row],[Wert 
(Zahl)]]*Relevante_Stoffströme[[#This Row],[EF Scope 3.5 CO2e
(kg CO2e/Einheit)2]],"")</f>
        <v/>
      </c>
    </row>
    <row r="122" spans="2:22" s="89" customFormat="1" ht="15" thickBot="1" x14ac:dyDescent="0.4">
      <c r="B122" s="617"/>
      <c r="C122" s="89" t="str">
        <f t="shared" si="3"/>
        <v>Relevante_Stoffströme</v>
      </c>
      <c r="D122" s="90"/>
      <c r="E122" s="90"/>
      <c r="F122" s="288"/>
      <c r="G122" s="90" t="str">
        <f>IFERROR(VLOOKUP(Relevante_Stoffströme[[#This Row],[Thema_Bezeichung]],EFs_3135[],4,FALSE),"")</f>
        <v/>
      </c>
      <c r="H122" s="90"/>
      <c r="I122" s="90"/>
      <c r="J122" s="90"/>
      <c r="K122" s="290" t="str">
        <f>IF(ISBLANK(Relevante_Stoffströme[[#This Row],[Wert 
(Zahl)]]),"",SUM(Relevante_Stoffströme[[#This Row],[Scope 1 CO2e '[kg CO2e']]:[Scope 3.5 CO2e '[kg CO2e']]]))</f>
        <v/>
      </c>
      <c r="L122" s="409"/>
      <c r="M122" s="409"/>
      <c r="N122" s="154" t="str">
        <f>IF(ISBLANK(Relevante_Stoffströme[[#This Row],[Emissionsquelle/Aktivität (Dropdown)]]),"",CONCATENATE(Relevante_Stoffströme[[#This Row],[Sektor_Thema]]," - ",Relevante_Stoffströme[[#This Row],[Emissionsquelle/Aktivität (Dropdown)]]))</f>
        <v/>
      </c>
      <c r="O122" s="155" t="str">
        <f>IFERROR(VLOOKUP(Relevante_Stoffströme[[#This Row],[Thema_Bezeichung]],EFs_3135[],5,FALSE),"")</f>
        <v/>
      </c>
      <c r="P122" s="155" t="str">
        <f>IFERROR(VLOOKUP(Relevante_Stoffströme[[#This Row],[Thema_Bezeichung]],EFs_3135[],6,FALSE),"")</f>
        <v/>
      </c>
      <c r="Q122" s="155" t="str">
        <f>IFERROR(VLOOKUP(Relevante_Stoffströme[[#This Row],[Thema_Bezeichung]],EFs_3135[],7,FALSE),"")</f>
        <v/>
      </c>
      <c r="R122" s="155" t="str">
        <f>IFERROR(VLOOKUP(Relevante_Stoffströme[[#This Row],[Thema_Bezeichung]],EFs_3135[],8,FALSE),"")</f>
        <v/>
      </c>
      <c r="S122" s="155" t="str">
        <f>IFERROR(Relevante_Stoffströme[[#This Row],[Wert 
(Zahl)]]*Relevante_Stoffströme[[#This Row],[EF Scope 1 CO2e
(kg CO2e/Einheit)]],"")</f>
        <v/>
      </c>
      <c r="T122" s="155" t="str">
        <f>IFERROR(Relevante_Stoffströme[[#This Row],[Wert 
(Zahl)]]*Relevante_Stoffströme[[#This Row],[EF Scope 2 CO2e
(kg CO2e/Einheit)]],"")</f>
        <v/>
      </c>
      <c r="U122" s="155" t="str">
        <f>IFERROR(Relevante_Stoffströme[[#This Row],[Wert 
(Zahl)]]*Relevante_Stoffströme[[#This Row],[EF Scope 3.1 CO2e
(kg CO2e/Einheit)]],"")</f>
        <v/>
      </c>
      <c r="V122" s="155" t="str">
        <f>IFERROR(Relevante_Stoffströme[[#This Row],[Wert 
(Zahl)]]*Relevante_Stoffströme[[#This Row],[EF Scope 3.5 CO2e
(kg CO2e/Einheit)2]],"")</f>
        <v/>
      </c>
    </row>
    <row r="123" spans="2:22" s="2" customFormat="1" ht="15" thickTop="1" x14ac:dyDescent="0.35">
      <c r="D123" s="2" t="s">
        <v>204</v>
      </c>
      <c r="K123" s="291">
        <f>SUBTOTAL(109,Relevante_Stoffströme[Ergebnis '[kg CO2e']
(vorausgefüllt)])</f>
        <v>0</v>
      </c>
      <c r="L123" s="410"/>
      <c r="M123" s="410"/>
      <c r="N123" s="109"/>
      <c r="O123" s="109"/>
      <c r="P123" s="109"/>
      <c r="Q123" s="109"/>
      <c r="R123" s="109"/>
      <c r="S123" s="109">
        <f>SUBTOTAL(109,Relevante_Stoffströme[Scope 1 CO2e '[kg CO2e']])</f>
        <v>0</v>
      </c>
      <c r="T123" s="109">
        <f>SUBTOTAL(109,Relevante_Stoffströme[Scope 2 CO2e '[kg CO2e']])</f>
        <v>0</v>
      </c>
      <c r="U123" s="109">
        <f>SUBTOTAL(109,Relevante_Stoffströme[Scope 3.1 CO2e '[kg CO2e']])</f>
        <v>0</v>
      </c>
      <c r="V123" s="109">
        <f>SUBTOTAL(109,Relevante_Stoffströme[Scope 3.5 CO2e '[kg CO2e']])</f>
        <v>0</v>
      </c>
    </row>
    <row r="124" spans="2:22" ht="121.5" customHeight="1" x14ac:dyDescent="0.35">
      <c r="B124" s="183" t="s">
        <v>79</v>
      </c>
    </row>
  </sheetData>
  <sheetProtection algorithmName="SHA-512" hashValue="AjXRiRARlkAAvnEx8oGcNRnAoyF8Yyb53bVmHdKRXDiGRfuyMgQx/xcGuBfxqugLDXQGR//6+aggG+pWVf5aSA==" saltValue="RRpdrRxAfmF6OhA4Ug1JIg==" spinCount="100000" sheet="1" insertRows="0" deleteRows="0"/>
  <mergeCells count="11">
    <mergeCell ref="B103:B122"/>
    <mergeCell ref="B12:B15"/>
    <mergeCell ref="B76:B95"/>
    <mergeCell ref="B22:B41"/>
    <mergeCell ref="B49:B68"/>
    <mergeCell ref="D46:I46"/>
    <mergeCell ref="D19:I19"/>
    <mergeCell ref="D73:I73"/>
    <mergeCell ref="D100:I100"/>
    <mergeCell ref="B5:I5"/>
    <mergeCell ref="B8:I8"/>
  </mergeCells>
  <phoneticPr fontId="2" type="noConversion"/>
  <conditionalFormatting sqref="H22:H41">
    <cfRule type="expression" dxfId="23" priority="2">
      <formula>AND(ISERROR(SEARCH("PKW",$E22)),$E22&lt;&gt;"")</formula>
    </cfRule>
  </conditionalFormatting>
  <conditionalFormatting sqref="M22:M41">
    <cfRule type="expression" dxfId="22" priority="1">
      <formula>$S22=0</formula>
    </cfRule>
  </conditionalFormatting>
  <dataValidations count="9">
    <dataValidation type="decimal" operator="notEqual" allowBlank="1" showInputMessage="1" showErrorMessage="1" errorTitle="Ungültiger Wert!" error="Bitte tragen Sie eine Zahl ein." sqref="F76 F103:F106 F49" xr:uid="{957089BB-9D41-43BC-8DE5-278288C7030C}">
      <formula1>0</formula1>
    </dataValidation>
    <dataValidation type="list" allowBlank="1" showInputMessage="1" showErrorMessage="1" sqref="C20 C74 C101" xr:uid="{5426657F-FFA5-4AFC-887F-117B6CEBB7CA}">
      <formula1>Thema_</formula1>
    </dataValidation>
    <dataValidation type="list" allowBlank="1" showInputMessage="1" showErrorMessage="1" sqref="D49:D68 D76:D95 D117:D122 D103:D115 D22:D41" xr:uid="{BB6A68F0-052C-4D45-80B4-BE0AD213DFC7}">
      <formula1>Gliederungselemente</formula1>
    </dataValidation>
    <dataValidation type="list" allowBlank="1" showInputMessage="1" showErrorMessage="1" sqref="E103:E122" xr:uid="{05269A53-ACB0-418A-8515-535A62CF0613}">
      <formula1>DD_Relevante_Stoffströme</formula1>
    </dataValidation>
    <dataValidation type="list" allowBlank="1" showInputMessage="1" showErrorMessage="1" sqref="E76:E95" xr:uid="{FFFD3E14-CC0E-4E9B-939C-4B3123961CB3}">
      <formula1>DD_IT_Dienstleistungen</formula1>
    </dataValidation>
    <dataValidation type="list" allowBlank="1" showInputMessage="1" showErrorMessage="1" sqref="E22:E41" xr:uid="{2BC95FEB-85A0-4BD3-A515-6C62B7FA3139}">
      <formula1>DD_Anreise_Besuchende</formula1>
    </dataValidation>
    <dataValidation type="list" allowBlank="1" showInputMessage="1" showErrorMessage="1" sqref="E49:E68" xr:uid="{E4B5BBB3-77BC-490C-A820-E0F599E62B73}">
      <formula1>DD_Bücher_CDs_DVDs</formula1>
    </dataValidation>
    <dataValidation type="list" allowBlank="1" showInputMessage="1" showErrorMessage="1" sqref="C47" xr:uid="{60FBAEA9-E023-4A61-9691-F22162802AD3}">
      <formula1>DD_Thema</formula1>
    </dataValidation>
    <dataValidation type="decimal" errorStyle="warning" allowBlank="1" showInputMessage="1" showErrorMessage="1" error="Tragen Sie bitte eine Zahl zwsichen 1 und 9 ein (auch Dezimalzahlen sind zulässig)." sqref="H22:H41" xr:uid="{D5AF93A6-5FC5-44F5-9E17-28C622B34B43}">
      <formula1>1</formula1>
      <formula2>9</formula2>
    </dataValidation>
  </dataValidations>
  <hyperlinks>
    <hyperlink ref="B17" location="'Daten KlimaBilanzKultur+'!B7:G13" display="Zurück zur Übersicht" xr:uid="{C738BD2C-78B9-4D55-841A-4EE8CE586080}"/>
    <hyperlink ref="E12:E15" location="'Datenerfassung (3)'!F23:F42" display="Energie_Wärme" xr:uid="{8419271F-A3B5-43C2-BBC2-7B6E70A22FBC}"/>
    <hyperlink ref="E12" location="Bez_Anreise_der_Besuchenden" display="Anreise der Besuchenden" xr:uid="{7738F895-C3CD-408E-9990-0E123E02C483}"/>
    <hyperlink ref="E14" location="Bez_IT" display="IT-Dienstleistungen" xr:uid="{3139D555-518A-4FB2-B2C5-0BA24C3BCAD3}"/>
    <hyperlink ref="E15" location="Bez_Relevante_Stoffströme" display="Relevante Stoffströme" xr:uid="{06A35038-2AD3-489A-BC1A-3F1D4EE60857}"/>
    <hyperlink ref="E13" location="Bez_Medien" display="Medien" xr:uid="{D8D5E762-BCBB-4919-84FC-C85FE0470B72}"/>
    <hyperlink ref="B44" location="'Daten KlimaBilanzKultur+'!B7:G13" display="Zurück zur Übersicht" xr:uid="{9E5A9AFA-5601-4E6F-A8D2-E4F76653D847}"/>
    <hyperlink ref="B71" location="'Daten KlimaBilanzKultur+'!B7:G13" display="Zurück zur Übersicht" xr:uid="{73E5901A-C807-4C31-932E-FC794B14E41A}"/>
    <hyperlink ref="B98" location="'Daten KlimaBilanzKultur+'!B7:G13" display="Zurück zur Übersicht" xr:uid="{7D745A83-CFDA-469D-A387-51A2C737D5C1}"/>
  </hyperlinks>
  <pageMargins left="0.7" right="0.7" top="0.78740157499999996" bottom="0.78740157499999996" header="0.3" footer="0.3"/>
  <pageSetup paperSize="9" orientation="portrait" r:id="rId1"/>
  <ignoredErrors>
    <ignoredError sqref="W22:W4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1" r:id="rId4" name="Check Box 11">
              <controlPr defaultSize="0" autoFill="0" autoLine="0" autoPict="0">
                <anchor moveWithCells="1">
                  <from>
                    <xdr:col>6</xdr:col>
                    <xdr:colOff>495300</xdr:colOff>
                    <xdr:row>13</xdr:row>
                    <xdr:rowOff>31750</xdr:rowOff>
                  </from>
                  <to>
                    <xdr:col>6</xdr:col>
                    <xdr:colOff>698500</xdr:colOff>
                    <xdr:row>13</xdr:row>
                    <xdr:rowOff>203200</xdr:rowOff>
                  </to>
                </anchor>
              </controlPr>
            </control>
          </mc:Choice>
        </mc:AlternateContent>
        <mc:AlternateContent xmlns:mc="http://schemas.openxmlformats.org/markup-compatibility/2006">
          <mc:Choice Requires="x14">
            <control shapeId="30732" r:id="rId5" name="Check Box 12">
              <controlPr defaultSize="0" autoFill="0" autoLine="0" autoPict="0">
                <anchor moveWithCells="1">
                  <from>
                    <xdr:col>6</xdr:col>
                    <xdr:colOff>495300</xdr:colOff>
                    <xdr:row>14</xdr:row>
                    <xdr:rowOff>31750</xdr:rowOff>
                  </from>
                  <to>
                    <xdr:col>6</xdr:col>
                    <xdr:colOff>698500</xdr:colOff>
                    <xdr:row>14</xdr:row>
                    <xdr:rowOff>203200</xdr:rowOff>
                  </to>
                </anchor>
              </controlPr>
            </control>
          </mc:Choice>
        </mc:AlternateContent>
        <mc:AlternateContent xmlns:mc="http://schemas.openxmlformats.org/markup-compatibility/2006">
          <mc:Choice Requires="x14">
            <control shapeId="30735" r:id="rId6" name="Check Box 15">
              <controlPr defaultSize="0" autoFill="0" autoLine="0" autoPict="0">
                <anchor moveWithCells="1">
                  <from>
                    <xdr:col>6</xdr:col>
                    <xdr:colOff>495300</xdr:colOff>
                    <xdr:row>11</xdr:row>
                    <xdr:rowOff>31750</xdr:rowOff>
                  </from>
                  <to>
                    <xdr:col>6</xdr:col>
                    <xdr:colOff>698500</xdr:colOff>
                    <xdr:row>11</xdr:row>
                    <xdr:rowOff>222250</xdr:rowOff>
                  </to>
                </anchor>
              </controlPr>
            </control>
          </mc:Choice>
        </mc:AlternateContent>
        <mc:AlternateContent xmlns:mc="http://schemas.openxmlformats.org/markup-compatibility/2006">
          <mc:Choice Requires="x14">
            <control shapeId="30736" r:id="rId7" name="Check Box 16">
              <controlPr defaultSize="0" autoFill="0" autoLine="0" autoPict="0">
                <anchor moveWithCells="1">
                  <from>
                    <xdr:col>6</xdr:col>
                    <xdr:colOff>495300</xdr:colOff>
                    <xdr:row>12</xdr:row>
                    <xdr:rowOff>31750</xdr:rowOff>
                  </from>
                  <to>
                    <xdr:col>6</xdr:col>
                    <xdr:colOff>698500</xdr:colOff>
                    <xdr:row>12</xdr:row>
                    <xdr:rowOff>222250</xdr:rowOff>
                  </to>
                </anchor>
              </controlPr>
            </control>
          </mc:Choice>
        </mc:AlternateContent>
      </controls>
    </mc:Choice>
  </mc:AlternateContent>
  <tableParts count="4">
    <tablePart r:id="rId8"/>
    <tablePart r:id="rId9"/>
    <tablePart r:id="rId10"/>
    <tablePart r:id="rId11"/>
  </tableParts>
  <extLst>
    <ext xmlns:x14="http://schemas.microsoft.com/office/spreadsheetml/2009/9/main" uri="{CCE6A557-97BC-4b89-ADB6-D9C93CAAB3DF}">
      <x14:dataValidations xmlns:xm="http://schemas.microsoft.com/office/excel/2006/main" count="1">
        <x14:dataValidation type="list" allowBlank="1" showInputMessage="1" showErrorMessage="1" xr:uid="{D1B26F86-E3A9-41C3-97CC-0D8162FDD9EC}">
          <x14:formula1>
            <xm:f>INDIRECT(Dropdowns!$B$18)</xm:f>
          </x14:formula1>
          <xm:sqref>H103:H122 I22:I41 H76:H95 H49:H68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8F99E-07A7-400B-9A47-AA1C3C1EDBF6}">
  <sheetPr codeName="Tabelle6">
    <tabColor rgb="FFBBE8FF"/>
  </sheetPr>
  <dimension ref="A3:W124"/>
  <sheetViews>
    <sheetView showGridLines="0" workbookViewId="0"/>
  </sheetViews>
  <sheetFormatPr baseColWidth="10" defaultRowHeight="14.5" x14ac:dyDescent="0.35"/>
  <cols>
    <col min="1" max="1" width="4.54296875" customWidth="1"/>
    <col min="3" max="3" width="25.26953125" customWidth="1"/>
    <col min="4" max="4" width="28.453125" customWidth="1"/>
    <col min="5" max="6" width="30.36328125" customWidth="1"/>
  </cols>
  <sheetData>
    <row r="3" spans="2:7" x14ac:dyDescent="0.35">
      <c r="B3" s="26" t="str">
        <f>IF(ISBLANK(Stammdaten!$C$8),"",Stammdaten!$C$8)</f>
        <v/>
      </c>
    </row>
    <row r="4" spans="2:7" ht="18.5" x14ac:dyDescent="0.45">
      <c r="B4" s="126" t="s">
        <v>183</v>
      </c>
      <c r="F4" s="5"/>
    </row>
    <row r="5" spans="2:7" s="15" customFormat="1" ht="66" customHeight="1" x14ac:dyDescent="0.35">
      <c r="B5" s="599" t="s">
        <v>572</v>
      </c>
      <c r="C5" s="599"/>
      <c r="D5" s="599"/>
      <c r="E5" s="599"/>
      <c r="F5" s="599"/>
      <c r="G5" s="474"/>
    </row>
    <row r="6" spans="2:7" ht="9.5" customHeight="1" x14ac:dyDescent="0.45">
      <c r="B6" s="16"/>
      <c r="F6" s="5"/>
    </row>
    <row r="7" spans="2:7" ht="18.5" x14ac:dyDescent="0.45">
      <c r="B7" s="126" t="s">
        <v>194</v>
      </c>
      <c r="F7" s="5"/>
    </row>
    <row r="8" spans="2:7" s="9" customFormat="1" ht="77" customHeight="1" x14ac:dyDescent="0.35">
      <c r="B8" s="614" t="s">
        <v>578</v>
      </c>
      <c r="C8" s="614"/>
      <c r="D8" s="614"/>
      <c r="E8" s="614"/>
      <c r="F8" s="614"/>
      <c r="G8" s="459"/>
    </row>
    <row r="9" spans="2:7" ht="4.5" customHeight="1" x14ac:dyDescent="0.45">
      <c r="B9" s="16"/>
      <c r="F9" s="5"/>
    </row>
    <row r="10" spans="2:7" ht="4.5" customHeight="1" x14ac:dyDescent="0.45">
      <c r="B10" s="16"/>
      <c r="F10" s="5"/>
    </row>
    <row r="11" spans="2:7" ht="29.5" thickBot="1" x14ac:dyDescent="0.4">
      <c r="C11" s="138" t="s">
        <v>14</v>
      </c>
      <c r="D11" s="139" t="s">
        <v>314</v>
      </c>
      <c r="E11" s="140" t="s">
        <v>573</v>
      </c>
      <c r="F11" s="140" t="s">
        <v>193</v>
      </c>
    </row>
    <row r="12" spans="2:7" s="9" customFormat="1" ht="18" customHeight="1" thickTop="1" x14ac:dyDescent="0.35">
      <c r="B12" s="626" t="s">
        <v>203</v>
      </c>
      <c r="C12" s="141" t="s">
        <v>17</v>
      </c>
      <c r="D12" s="147" t="s">
        <v>195</v>
      </c>
      <c r="E12" s="135" t="str">
        <f>IF(Papierverbrauch_Büro[[#Totals],[Papierverbrauch 
(Anzahl Blatt Papier)]]=0,"nein","ja")</f>
        <v>nein</v>
      </c>
      <c r="F12" s="142"/>
      <c r="G12" s="49" t="s">
        <v>251</v>
      </c>
    </row>
    <row r="13" spans="2:7" s="9" customFormat="1" ht="18" customHeight="1" x14ac:dyDescent="0.35">
      <c r="B13" s="627"/>
      <c r="C13" s="143" t="s">
        <v>17</v>
      </c>
      <c r="D13" s="148" t="s">
        <v>198</v>
      </c>
      <c r="E13" s="136" t="str">
        <f>IF(Druck_und_Werbematerialien[[#Totals],[Druck- und Werbematerialien
(Kilogramm)]]=0,"nein","ja")</f>
        <v>nein</v>
      </c>
      <c r="F13" s="144"/>
      <c r="G13" s="49" t="s">
        <v>252</v>
      </c>
    </row>
    <row r="14" spans="2:7" s="9" customFormat="1" ht="18" customHeight="1" x14ac:dyDescent="0.35">
      <c r="B14" s="627"/>
      <c r="C14" s="145" t="s">
        <v>17</v>
      </c>
      <c r="D14" s="149" t="s">
        <v>196</v>
      </c>
      <c r="E14" s="137" t="str">
        <f>IF(Verpackungsmaterialien[[#Totals],[Vepackungsmaterialien 
(Kilogramm)]]=0,"nein","ja")</f>
        <v>nein</v>
      </c>
      <c r="F14" s="146"/>
      <c r="G14" s="49" t="s">
        <v>253</v>
      </c>
    </row>
    <row r="15" spans="2:7" s="9" customFormat="1" ht="18" customHeight="1" thickBot="1" x14ac:dyDescent="0.4">
      <c r="B15" s="628"/>
      <c r="C15" s="143" t="s">
        <v>17</v>
      </c>
      <c r="D15" s="148" t="s">
        <v>199</v>
      </c>
      <c r="E15" s="136" t="str">
        <f>IF(Wasserverbrauch[[#Totals],[Wasserverbrauch (m3)]]=0,"nein","ja")</f>
        <v>nein</v>
      </c>
      <c r="F15" s="144"/>
      <c r="G15" s="49" t="s">
        <v>254</v>
      </c>
    </row>
    <row r="16" spans="2:7" ht="51" customHeight="1" thickTop="1" x14ac:dyDescent="0.35"/>
    <row r="17" spans="1:23" x14ac:dyDescent="0.35">
      <c r="B17" s="127" t="s">
        <v>80</v>
      </c>
    </row>
    <row r="18" spans="1:23" s="1" customFormat="1" ht="20.25" customHeight="1" x14ac:dyDescent="0.45">
      <c r="A18"/>
      <c r="B18" s="126" t="s">
        <v>195</v>
      </c>
      <c r="C18"/>
      <c r="D18"/>
      <c r="E18"/>
      <c r="F18"/>
      <c r="G18"/>
      <c r="H18"/>
      <c r="I18"/>
      <c r="J18"/>
      <c r="K18"/>
      <c r="L18"/>
      <c r="M18"/>
      <c r="N18"/>
      <c r="O18"/>
      <c r="P18"/>
      <c r="Q18"/>
      <c r="R18"/>
      <c r="S18"/>
      <c r="T18"/>
      <c r="U18"/>
      <c r="V18"/>
      <c r="W18"/>
    </row>
    <row r="19" spans="1:23" ht="18" customHeight="1" x14ac:dyDescent="0.35">
      <c r="A19" s="1"/>
      <c r="B19" s="186" t="s">
        <v>81</v>
      </c>
      <c r="C19" s="607" t="s">
        <v>215</v>
      </c>
      <c r="D19" s="607"/>
      <c r="E19" s="607"/>
      <c r="F19" s="608"/>
      <c r="G19" s="25"/>
      <c r="I19" s="1"/>
      <c r="J19" s="1"/>
      <c r="K19" s="1"/>
      <c r="L19" s="1"/>
      <c r="M19" s="1"/>
      <c r="N19" s="1"/>
      <c r="O19" s="1"/>
      <c r="P19" s="1"/>
      <c r="Q19" s="1"/>
      <c r="R19" s="1"/>
      <c r="S19" s="1"/>
      <c r="T19" s="1"/>
      <c r="U19" s="1"/>
      <c r="V19" s="1"/>
      <c r="W19" s="1"/>
    </row>
    <row r="21" spans="1:23" ht="44" thickBot="1" x14ac:dyDescent="0.4">
      <c r="B21" s="10"/>
      <c r="C21" s="23" t="s">
        <v>192</v>
      </c>
      <c r="D21" s="23" t="s">
        <v>197</v>
      </c>
      <c r="E21" s="97" t="s">
        <v>74</v>
      </c>
      <c r="F21" s="97" t="s">
        <v>75</v>
      </c>
    </row>
    <row r="22" spans="1:23" ht="15" thickTop="1" x14ac:dyDescent="0.35">
      <c r="B22" s="623" t="str">
        <f>B18</f>
        <v>Papierverbrauch Büro</v>
      </c>
      <c r="C22" s="90"/>
      <c r="D22" s="288"/>
      <c r="E22" s="90"/>
      <c r="F22" s="90"/>
    </row>
    <row r="23" spans="1:23" x14ac:dyDescent="0.35">
      <c r="B23" s="624"/>
      <c r="C23" s="90"/>
      <c r="D23" s="288"/>
      <c r="E23" s="90"/>
      <c r="F23" s="90"/>
    </row>
    <row r="24" spans="1:23" x14ac:dyDescent="0.35">
      <c r="B24" s="624"/>
      <c r="C24" s="90"/>
      <c r="D24" s="288"/>
      <c r="E24" s="90"/>
      <c r="F24" s="90"/>
    </row>
    <row r="25" spans="1:23" x14ac:dyDescent="0.35">
      <c r="B25" s="624"/>
      <c r="C25" s="90"/>
      <c r="D25" s="288"/>
      <c r="E25" s="90"/>
      <c r="F25" s="90"/>
    </row>
    <row r="26" spans="1:23" x14ac:dyDescent="0.35">
      <c r="B26" s="624"/>
      <c r="C26" s="90"/>
      <c r="D26" s="288"/>
      <c r="E26" s="90"/>
      <c r="F26" s="90"/>
    </row>
    <row r="27" spans="1:23" x14ac:dyDescent="0.35">
      <c r="B27" s="624"/>
      <c r="C27" s="90"/>
      <c r="D27" s="288"/>
      <c r="E27" s="90"/>
      <c r="F27" s="90"/>
    </row>
    <row r="28" spans="1:23" x14ac:dyDescent="0.35">
      <c r="B28" s="624"/>
      <c r="C28" s="90"/>
      <c r="D28" s="288"/>
      <c r="E28" s="90"/>
      <c r="F28" s="90"/>
    </row>
    <row r="29" spans="1:23" x14ac:dyDescent="0.35">
      <c r="B29" s="624"/>
      <c r="C29" s="90"/>
      <c r="D29" s="288"/>
      <c r="E29" s="90"/>
      <c r="F29" s="90"/>
    </row>
    <row r="30" spans="1:23" x14ac:dyDescent="0.35">
      <c r="B30" s="624"/>
      <c r="C30" s="90"/>
      <c r="D30" s="288"/>
      <c r="E30" s="90"/>
      <c r="F30" s="90"/>
    </row>
    <row r="31" spans="1:23" x14ac:dyDescent="0.35">
      <c r="B31" s="624"/>
      <c r="C31" s="90"/>
      <c r="D31" s="288"/>
      <c r="E31" s="90"/>
      <c r="F31" s="90"/>
    </row>
    <row r="32" spans="1:23" x14ac:dyDescent="0.35">
      <c r="B32" s="624"/>
      <c r="C32" s="90"/>
      <c r="D32" s="288"/>
      <c r="E32" s="90"/>
      <c r="F32" s="90"/>
    </row>
    <row r="33" spans="1:23" x14ac:dyDescent="0.35">
      <c r="B33" s="624"/>
      <c r="C33" s="90"/>
      <c r="D33" s="288"/>
      <c r="E33" s="90"/>
      <c r="F33" s="90"/>
    </row>
    <row r="34" spans="1:23" x14ac:dyDescent="0.35">
      <c r="B34" s="624"/>
      <c r="C34" s="90"/>
      <c r="D34" s="288"/>
      <c r="E34" s="90"/>
      <c r="F34" s="90"/>
    </row>
    <row r="35" spans="1:23" x14ac:dyDescent="0.35">
      <c r="B35" s="624"/>
      <c r="C35" s="90"/>
      <c r="D35" s="288"/>
      <c r="E35" s="90"/>
      <c r="F35" s="90"/>
    </row>
    <row r="36" spans="1:23" x14ac:dyDescent="0.35">
      <c r="B36" s="624"/>
      <c r="C36" s="90"/>
      <c r="D36" s="288"/>
      <c r="E36" s="90"/>
      <c r="F36" s="90"/>
    </row>
    <row r="37" spans="1:23" x14ac:dyDescent="0.35">
      <c r="B37" s="624"/>
      <c r="C37" s="90"/>
      <c r="D37" s="288"/>
      <c r="E37" s="90"/>
      <c r="F37" s="90"/>
    </row>
    <row r="38" spans="1:23" x14ac:dyDescent="0.35">
      <c r="B38" s="624"/>
      <c r="C38" s="90"/>
      <c r="D38" s="288"/>
      <c r="E38" s="90"/>
      <c r="F38" s="90"/>
    </row>
    <row r="39" spans="1:23" x14ac:dyDescent="0.35">
      <c r="B39" s="624"/>
      <c r="C39" s="90"/>
      <c r="D39" s="288"/>
      <c r="E39" s="90"/>
      <c r="F39" s="90"/>
    </row>
    <row r="40" spans="1:23" x14ac:dyDescent="0.35">
      <c r="B40" s="624"/>
      <c r="C40" s="90"/>
      <c r="D40" s="288"/>
      <c r="E40" s="90"/>
      <c r="F40" s="90"/>
    </row>
    <row r="41" spans="1:23" ht="15" thickBot="1" x14ac:dyDescent="0.4">
      <c r="B41" s="625"/>
      <c r="C41" s="90"/>
      <c r="D41" s="288"/>
      <c r="E41" s="90"/>
      <c r="F41" s="90"/>
    </row>
    <row r="42" spans="1:23" s="2" customFormat="1" ht="15.75" customHeight="1" thickTop="1" x14ac:dyDescent="0.35">
      <c r="B42" s="53"/>
      <c r="C42" s="2" t="s">
        <v>204</v>
      </c>
      <c r="D42" s="292">
        <f>SUBTOTAL(109,Papierverbrauch_Büro[Papierverbrauch 
(Anzahl Blatt Papier)])</f>
        <v>0</v>
      </c>
    </row>
    <row r="43" spans="1:23" ht="121.5" customHeight="1" x14ac:dyDescent="0.35">
      <c r="B43" s="183" t="s">
        <v>201</v>
      </c>
    </row>
    <row r="44" spans="1:23" x14ac:dyDescent="0.35">
      <c r="B44" s="127" t="s">
        <v>80</v>
      </c>
    </row>
    <row r="45" spans="1:23" s="1" customFormat="1" ht="20.25" customHeight="1" x14ac:dyDescent="0.45">
      <c r="A45"/>
      <c r="B45" s="126" t="s">
        <v>198</v>
      </c>
      <c r="C45"/>
      <c r="D45"/>
      <c r="E45"/>
      <c r="F45"/>
      <c r="G45"/>
      <c r="H45"/>
      <c r="I45"/>
      <c r="J45"/>
      <c r="K45"/>
      <c r="L45"/>
      <c r="M45"/>
      <c r="N45"/>
      <c r="O45"/>
      <c r="P45"/>
      <c r="Q45"/>
      <c r="R45"/>
      <c r="S45"/>
      <c r="T45"/>
      <c r="U45"/>
      <c r="V45"/>
      <c r="W45"/>
    </row>
    <row r="46" spans="1:23" ht="18" customHeight="1" x14ac:dyDescent="0.35">
      <c r="A46" s="1"/>
      <c r="B46" s="186" t="s">
        <v>81</v>
      </c>
      <c r="C46" s="607" t="s">
        <v>293</v>
      </c>
      <c r="D46" s="607"/>
      <c r="E46" s="607"/>
      <c r="F46" s="608"/>
      <c r="G46" s="25"/>
      <c r="I46" s="1"/>
      <c r="J46" s="1"/>
      <c r="K46" s="1"/>
      <c r="L46" s="1"/>
      <c r="M46" s="1"/>
      <c r="N46" s="1"/>
      <c r="O46" s="1"/>
      <c r="P46" s="1"/>
      <c r="Q46" s="1"/>
      <c r="R46" s="1"/>
      <c r="S46" s="1"/>
      <c r="T46" s="1"/>
      <c r="U46" s="1"/>
      <c r="V46" s="1"/>
      <c r="W46" s="1"/>
    </row>
    <row r="48" spans="1:23" ht="44" thickBot="1" x14ac:dyDescent="0.4">
      <c r="B48" s="10"/>
      <c r="C48" s="23" t="s">
        <v>192</v>
      </c>
      <c r="D48" s="23" t="s">
        <v>287</v>
      </c>
      <c r="E48" s="97" t="s">
        <v>74</v>
      </c>
      <c r="F48" s="97" t="s">
        <v>75</v>
      </c>
    </row>
    <row r="49" spans="2:6" ht="15" thickTop="1" x14ac:dyDescent="0.35">
      <c r="B49" s="623" t="str">
        <f>B45</f>
        <v>Druck- und Werbematerialien</v>
      </c>
      <c r="C49" s="90"/>
      <c r="D49" s="288"/>
      <c r="E49" s="90"/>
      <c r="F49" s="90"/>
    </row>
    <row r="50" spans="2:6" x14ac:dyDescent="0.35">
      <c r="B50" s="624"/>
      <c r="C50" s="90"/>
      <c r="D50" s="288"/>
      <c r="E50" s="90"/>
      <c r="F50" s="90"/>
    </row>
    <row r="51" spans="2:6" x14ac:dyDescent="0.35">
      <c r="B51" s="624"/>
      <c r="C51" s="90"/>
      <c r="D51" s="288"/>
      <c r="E51" s="90"/>
      <c r="F51" s="90"/>
    </row>
    <row r="52" spans="2:6" x14ac:dyDescent="0.35">
      <c r="B52" s="624"/>
      <c r="C52" s="90"/>
      <c r="D52" s="288"/>
      <c r="E52" s="90"/>
      <c r="F52" s="90"/>
    </row>
    <row r="53" spans="2:6" x14ac:dyDescent="0.35">
      <c r="B53" s="624"/>
      <c r="C53" s="90"/>
      <c r="D53" s="288"/>
      <c r="E53" s="90"/>
      <c r="F53" s="90"/>
    </row>
    <row r="54" spans="2:6" x14ac:dyDescent="0.35">
      <c r="B54" s="624"/>
      <c r="C54" s="90"/>
      <c r="D54" s="288"/>
      <c r="E54" s="90"/>
      <c r="F54" s="90"/>
    </row>
    <row r="55" spans="2:6" x14ac:dyDescent="0.35">
      <c r="B55" s="624"/>
      <c r="C55" s="90"/>
      <c r="D55" s="288"/>
      <c r="E55" s="90"/>
      <c r="F55" s="90"/>
    </row>
    <row r="56" spans="2:6" x14ac:dyDescent="0.35">
      <c r="B56" s="624"/>
      <c r="C56" s="90"/>
      <c r="D56" s="288"/>
      <c r="E56" s="90"/>
      <c r="F56" s="90"/>
    </row>
    <row r="57" spans="2:6" x14ac:dyDescent="0.35">
      <c r="B57" s="624"/>
      <c r="C57" s="90"/>
      <c r="D57" s="288"/>
      <c r="E57" s="90"/>
      <c r="F57" s="90"/>
    </row>
    <row r="58" spans="2:6" x14ac:dyDescent="0.35">
      <c r="B58" s="624"/>
      <c r="C58" s="90"/>
      <c r="D58" s="288"/>
      <c r="E58" s="90"/>
      <c r="F58" s="90"/>
    </row>
    <row r="59" spans="2:6" x14ac:dyDescent="0.35">
      <c r="B59" s="624"/>
      <c r="C59" s="90"/>
      <c r="D59" s="288"/>
      <c r="E59" s="90"/>
      <c r="F59" s="90"/>
    </row>
    <row r="60" spans="2:6" x14ac:dyDescent="0.35">
      <c r="B60" s="624"/>
      <c r="C60" s="90"/>
      <c r="D60" s="288"/>
      <c r="E60" s="90"/>
      <c r="F60" s="90"/>
    </row>
    <row r="61" spans="2:6" x14ac:dyDescent="0.35">
      <c r="B61" s="624"/>
      <c r="C61" s="90"/>
      <c r="D61" s="288"/>
      <c r="E61" s="90"/>
      <c r="F61" s="90"/>
    </row>
    <row r="62" spans="2:6" x14ac:dyDescent="0.35">
      <c r="B62" s="624"/>
      <c r="C62" s="90"/>
      <c r="D62" s="288"/>
      <c r="E62" s="90"/>
      <c r="F62" s="90"/>
    </row>
    <row r="63" spans="2:6" x14ac:dyDescent="0.35">
      <c r="B63" s="624"/>
      <c r="C63" s="90"/>
      <c r="D63" s="288"/>
      <c r="E63" s="90"/>
      <c r="F63" s="90"/>
    </row>
    <row r="64" spans="2:6" x14ac:dyDescent="0.35">
      <c r="B64" s="624"/>
      <c r="C64" s="90"/>
      <c r="D64" s="288"/>
      <c r="E64" s="90"/>
      <c r="F64" s="90"/>
    </row>
    <row r="65" spans="1:23" x14ac:dyDescent="0.35">
      <c r="B65" s="624"/>
      <c r="C65" s="90"/>
      <c r="D65" s="288"/>
      <c r="E65" s="90"/>
      <c r="F65" s="90"/>
    </row>
    <row r="66" spans="1:23" x14ac:dyDescent="0.35">
      <c r="B66" s="624"/>
      <c r="C66" s="90"/>
      <c r="D66" s="288"/>
      <c r="E66" s="90"/>
      <c r="F66" s="90"/>
    </row>
    <row r="67" spans="1:23" x14ac:dyDescent="0.35">
      <c r="B67" s="624"/>
      <c r="C67" s="90"/>
      <c r="D67" s="288"/>
      <c r="E67" s="90"/>
      <c r="F67" s="90"/>
    </row>
    <row r="68" spans="1:23" ht="15" thickBot="1" x14ac:dyDescent="0.4">
      <c r="B68" s="625"/>
      <c r="C68" s="90"/>
      <c r="D68" s="288"/>
      <c r="E68" s="90"/>
      <c r="F68" s="90"/>
    </row>
    <row r="69" spans="1:23" s="2" customFormat="1" ht="15.75" customHeight="1" thickTop="1" x14ac:dyDescent="0.35">
      <c r="B69" s="53"/>
      <c r="C69" s="2" t="s">
        <v>204</v>
      </c>
      <c r="D69" s="292">
        <f>SUBTOTAL(109,Druck_und_Werbematerialien[Druck- und Werbematerialien
(Kilogramm)])</f>
        <v>0</v>
      </c>
    </row>
    <row r="70" spans="1:23" ht="121.5" customHeight="1" x14ac:dyDescent="0.35">
      <c r="B70" s="183" t="s">
        <v>201</v>
      </c>
    </row>
    <row r="71" spans="1:23" x14ac:dyDescent="0.35">
      <c r="B71" s="127" t="s">
        <v>80</v>
      </c>
    </row>
    <row r="72" spans="1:23" s="1" customFormat="1" ht="20.25" customHeight="1" x14ac:dyDescent="0.45">
      <c r="A72"/>
      <c r="B72" s="126" t="s">
        <v>196</v>
      </c>
      <c r="C72"/>
      <c r="D72"/>
      <c r="E72"/>
      <c r="F72"/>
      <c r="G72"/>
      <c r="H72"/>
      <c r="I72"/>
      <c r="J72"/>
      <c r="K72"/>
      <c r="L72"/>
      <c r="M72"/>
      <c r="N72"/>
      <c r="O72"/>
      <c r="P72"/>
      <c r="Q72"/>
      <c r="R72"/>
      <c r="S72"/>
      <c r="T72"/>
      <c r="U72"/>
      <c r="V72"/>
      <c r="W72"/>
    </row>
    <row r="73" spans="1:23" ht="18" customHeight="1" x14ac:dyDescent="0.35">
      <c r="A73" s="1"/>
      <c r="B73" s="186" t="s">
        <v>81</v>
      </c>
      <c r="C73" s="607" t="s">
        <v>294</v>
      </c>
      <c r="D73" s="607"/>
      <c r="E73" s="607"/>
      <c r="F73" s="608"/>
      <c r="G73" s="25"/>
      <c r="I73" s="1"/>
      <c r="J73" s="1"/>
      <c r="K73" s="1"/>
      <c r="L73" s="1"/>
      <c r="M73" s="1"/>
      <c r="N73" s="1"/>
      <c r="O73" s="1"/>
      <c r="P73" s="1"/>
      <c r="Q73" s="1"/>
      <c r="R73" s="1"/>
      <c r="S73" s="1"/>
      <c r="T73" s="1"/>
      <c r="U73" s="1"/>
      <c r="V73" s="1"/>
      <c r="W73" s="1"/>
    </row>
    <row r="75" spans="1:23" ht="44" thickBot="1" x14ac:dyDescent="0.4">
      <c r="B75" s="10"/>
      <c r="C75" s="23" t="s">
        <v>192</v>
      </c>
      <c r="D75" s="23" t="s">
        <v>288</v>
      </c>
      <c r="E75" s="97" t="s">
        <v>74</v>
      </c>
      <c r="F75" s="97" t="s">
        <v>75</v>
      </c>
    </row>
    <row r="76" spans="1:23" ht="15" thickTop="1" x14ac:dyDescent="0.35">
      <c r="B76" s="623" t="str">
        <f>B72</f>
        <v>Verpackungsmaterialien</v>
      </c>
      <c r="C76" s="90"/>
      <c r="D76" s="288"/>
      <c r="E76" s="90"/>
      <c r="F76" s="90"/>
    </row>
    <row r="77" spans="1:23" x14ac:dyDescent="0.35">
      <c r="B77" s="624"/>
      <c r="C77" s="90"/>
      <c r="D77" s="288"/>
      <c r="E77" s="90"/>
      <c r="F77" s="90"/>
    </row>
    <row r="78" spans="1:23" x14ac:dyDescent="0.35">
      <c r="B78" s="624"/>
      <c r="C78" s="90"/>
      <c r="D78" s="288"/>
      <c r="E78" s="90"/>
      <c r="F78" s="90"/>
    </row>
    <row r="79" spans="1:23" x14ac:dyDescent="0.35">
      <c r="B79" s="624"/>
      <c r="C79" s="90"/>
      <c r="D79" s="288"/>
      <c r="E79" s="90"/>
      <c r="F79" s="90"/>
    </row>
    <row r="80" spans="1:23" x14ac:dyDescent="0.35">
      <c r="B80" s="624"/>
      <c r="C80" s="90"/>
      <c r="D80" s="288"/>
      <c r="E80" s="90"/>
      <c r="F80" s="90"/>
    </row>
    <row r="81" spans="2:6" x14ac:dyDescent="0.35">
      <c r="B81" s="624"/>
      <c r="C81" s="90"/>
      <c r="D81" s="288"/>
      <c r="E81" s="90"/>
      <c r="F81" s="90"/>
    </row>
    <row r="82" spans="2:6" x14ac:dyDescent="0.35">
      <c r="B82" s="624"/>
      <c r="C82" s="90"/>
      <c r="D82" s="288"/>
      <c r="E82" s="90"/>
      <c r="F82" s="90"/>
    </row>
    <row r="83" spans="2:6" x14ac:dyDescent="0.35">
      <c r="B83" s="624"/>
      <c r="C83" s="90"/>
      <c r="D83" s="288"/>
      <c r="E83" s="90"/>
      <c r="F83" s="90"/>
    </row>
    <row r="84" spans="2:6" x14ac:dyDescent="0.35">
      <c r="B84" s="624"/>
      <c r="C84" s="90"/>
      <c r="D84" s="288"/>
      <c r="E84" s="90"/>
      <c r="F84" s="90"/>
    </row>
    <row r="85" spans="2:6" x14ac:dyDescent="0.35">
      <c r="B85" s="624"/>
      <c r="C85" s="90"/>
      <c r="D85" s="288"/>
      <c r="E85" s="90"/>
      <c r="F85" s="90"/>
    </row>
    <row r="86" spans="2:6" x14ac:dyDescent="0.35">
      <c r="B86" s="624"/>
      <c r="C86" s="90"/>
      <c r="D86" s="288"/>
      <c r="E86" s="90"/>
      <c r="F86" s="90"/>
    </row>
    <row r="87" spans="2:6" x14ac:dyDescent="0.35">
      <c r="B87" s="624"/>
      <c r="C87" s="90"/>
      <c r="D87" s="288"/>
      <c r="E87" s="90"/>
      <c r="F87" s="90"/>
    </row>
    <row r="88" spans="2:6" x14ac:dyDescent="0.35">
      <c r="B88" s="624"/>
      <c r="C88" s="90"/>
      <c r="D88" s="288"/>
      <c r="E88" s="90"/>
      <c r="F88" s="90"/>
    </row>
    <row r="89" spans="2:6" x14ac:dyDescent="0.35">
      <c r="B89" s="624"/>
      <c r="C89" s="90"/>
      <c r="D89" s="288"/>
      <c r="E89" s="90"/>
      <c r="F89" s="90"/>
    </row>
    <row r="90" spans="2:6" x14ac:dyDescent="0.35">
      <c r="B90" s="624"/>
      <c r="C90" s="90"/>
      <c r="D90" s="288"/>
      <c r="E90" s="90"/>
      <c r="F90" s="90"/>
    </row>
    <row r="91" spans="2:6" x14ac:dyDescent="0.35">
      <c r="B91" s="624"/>
      <c r="C91" s="90"/>
      <c r="D91" s="288"/>
      <c r="E91" s="90"/>
      <c r="F91" s="90"/>
    </row>
    <row r="92" spans="2:6" x14ac:dyDescent="0.35">
      <c r="B92" s="624"/>
      <c r="C92" s="90"/>
      <c r="D92" s="288"/>
      <c r="E92" s="90"/>
      <c r="F92" s="90"/>
    </row>
    <row r="93" spans="2:6" x14ac:dyDescent="0.35">
      <c r="B93" s="624"/>
      <c r="C93" s="90"/>
      <c r="D93" s="288"/>
      <c r="E93" s="90"/>
      <c r="F93" s="90"/>
    </row>
    <row r="94" spans="2:6" x14ac:dyDescent="0.35">
      <c r="B94" s="624"/>
      <c r="C94" s="90"/>
      <c r="D94" s="288"/>
      <c r="E94" s="90"/>
      <c r="F94" s="90"/>
    </row>
    <row r="95" spans="2:6" ht="15" thickBot="1" x14ac:dyDescent="0.4">
      <c r="B95" s="625"/>
      <c r="C95" s="90"/>
      <c r="D95" s="288"/>
      <c r="E95" s="90"/>
      <c r="F95" s="90"/>
    </row>
    <row r="96" spans="2:6" s="2" customFormat="1" ht="15.75" customHeight="1" thickTop="1" x14ac:dyDescent="0.35">
      <c r="B96" s="53"/>
      <c r="C96" s="2" t="s">
        <v>204</v>
      </c>
      <c r="D96" s="292">
        <f>SUBTOTAL(109,Verpackungsmaterialien[Vepackungsmaterialien 
(Kilogramm)])</f>
        <v>0</v>
      </c>
    </row>
    <row r="97" spans="1:23" ht="121.5" customHeight="1" x14ac:dyDescent="0.35">
      <c r="B97" s="183" t="s">
        <v>201</v>
      </c>
    </row>
    <row r="98" spans="1:23" x14ac:dyDescent="0.35">
      <c r="B98" s="127" t="s">
        <v>80</v>
      </c>
    </row>
    <row r="99" spans="1:23" s="1" customFormat="1" ht="20.25" customHeight="1" x14ac:dyDescent="0.45">
      <c r="A99"/>
      <c r="B99" s="126" t="s">
        <v>199</v>
      </c>
      <c r="C99"/>
      <c r="D99"/>
      <c r="E99"/>
      <c r="F99"/>
      <c r="G99"/>
      <c r="H99"/>
      <c r="I99"/>
      <c r="J99"/>
      <c r="K99"/>
      <c r="L99"/>
      <c r="M99"/>
      <c r="N99"/>
      <c r="O99"/>
      <c r="P99"/>
      <c r="Q99"/>
      <c r="R99"/>
      <c r="S99"/>
      <c r="T99"/>
      <c r="U99"/>
      <c r="V99"/>
      <c r="W99"/>
    </row>
    <row r="100" spans="1:23" ht="31.5" customHeight="1" x14ac:dyDescent="0.35">
      <c r="A100" s="1"/>
      <c r="B100" s="186" t="s">
        <v>81</v>
      </c>
      <c r="C100" s="607" t="s">
        <v>337</v>
      </c>
      <c r="D100" s="607"/>
      <c r="E100" s="607"/>
      <c r="F100" s="608"/>
      <c r="G100" s="25"/>
      <c r="I100" s="1"/>
      <c r="J100" s="1"/>
      <c r="K100" s="1"/>
      <c r="L100" s="1"/>
      <c r="M100" s="1"/>
      <c r="N100" s="1"/>
      <c r="O100" s="1"/>
      <c r="P100" s="1"/>
      <c r="Q100" s="1"/>
      <c r="R100" s="1"/>
      <c r="S100" s="1"/>
      <c r="T100" s="1"/>
      <c r="U100" s="1"/>
      <c r="V100" s="1"/>
      <c r="W100" s="1"/>
    </row>
    <row r="102" spans="1:23" ht="44" thickBot="1" x14ac:dyDescent="0.4">
      <c r="B102" s="10"/>
      <c r="C102" s="23" t="s">
        <v>192</v>
      </c>
      <c r="D102" s="23" t="s">
        <v>200</v>
      </c>
      <c r="E102" s="97" t="s">
        <v>74</v>
      </c>
      <c r="F102" s="97" t="s">
        <v>75</v>
      </c>
    </row>
    <row r="103" spans="1:23" ht="15" thickTop="1" x14ac:dyDescent="0.35">
      <c r="B103" s="623" t="str">
        <f>B99</f>
        <v>Wasserverbrauch</v>
      </c>
      <c r="C103" s="90"/>
      <c r="D103" s="288"/>
      <c r="E103" s="90"/>
      <c r="F103" s="90"/>
    </row>
    <row r="104" spans="1:23" x14ac:dyDescent="0.35">
      <c r="B104" s="624"/>
      <c r="C104" s="90"/>
      <c r="D104" s="288"/>
      <c r="E104" s="90"/>
      <c r="F104" s="90"/>
    </row>
    <row r="105" spans="1:23" x14ac:dyDescent="0.35">
      <c r="B105" s="624"/>
      <c r="C105" s="90"/>
      <c r="D105" s="288"/>
      <c r="E105" s="90"/>
      <c r="F105" s="90"/>
    </row>
    <row r="106" spans="1:23" x14ac:dyDescent="0.35">
      <c r="B106" s="624"/>
      <c r="C106" s="90"/>
      <c r="D106" s="288"/>
      <c r="E106" s="90"/>
      <c r="F106" s="90"/>
    </row>
    <row r="107" spans="1:23" x14ac:dyDescent="0.35">
      <c r="B107" s="624"/>
      <c r="C107" s="90"/>
      <c r="D107" s="288"/>
      <c r="E107" s="90"/>
      <c r="F107" s="90"/>
    </row>
    <row r="108" spans="1:23" x14ac:dyDescent="0.35">
      <c r="B108" s="624"/>
      <c r="C108" s="90"/>
      <c r="D108" s="288"/>
      <c r="E108" s="90"/>
      <c r="F108" s="90"/>
    </row>
    <row r="109" spans="1:23" x14ac:dyDescent="0.35">
      <c r="B109" s="624"/>
      <c r="C109" s="90"/>
      <c r="D109" s="288"/>
      <c r="E109" s="90"/>
      <c r="F109" s="90"/>
    </row>
    <row r="110" spans="1:23" x14ac:dyDescent="0.35">
      <c r="B110" s="624"/>
      <c r="C110" s="90"/>
      <c r="D110" s="288"/>
      <c r="E110" s="90"/>
      <c r="F110" s="90"/>
    </row>
    <row r="111" spans="1:23" x14ac:dyDescent="0.35">
      <c r="B111" s="624"/>
      <c r="C111" s="90"/>
      <c r="D111" s="288"/>
      <c r="E111" s="90"/>
      <c r="F111" s="90"/>
    </row>
    <row r="112" spans="1:23" x14ac:dyDescent="0.35">
      <c r="B112" s="624"/>
      <c r="C112" s="90"/>
      <c r="D112" s="288"/>
      <c r="E112" s="90"/>
      <c r="F112" s="90"/>
    </row>
    <row r="113" spans="2:6" x14ac:dyDescent="0.35">
      <c r="B113" s="624"/>
      <c r="C113" s="90"/>
      <c r="D113" s="288"/>
      <c r="E113" s="90"/>
      <c r="F113" s="90"/>
    </row>
    <row r="114" spans="2:6" x14ac:dyDescent="0.35">
      <c r="B114" s="624"/>
      <c r="C114" s="90"/>
      <c r="D114" s="288"/>
      <c r="E114" s="90"/>
      <c r="F114" s="90"/>
    </row>
    <row r="115" spans="2:6" x14ac:dyDescent="0.35">
      <c r="B115" s="624"/>
      <c r="C115" s="90"/>
      <c r="D115" s="288"/>
      <c r="E115" s="90"/>
      <c r="F115" s="90"/>
    </row>
    <row r="116" spans="2:6" x14ac:dyDescent="0.35">
      <c r="B116" s="624"/>
      <c r="C116" s="90"/>
      <c r="D116" s="288"/>
      <c r="E116" s="90"/>
      <c r="F116" s="90"/>
    </row>
    <row r="117" spans="2:6" x14ac:dyDescent="0.35">
      <c r="B117" s="624"/>
      <c r="C117" s="90"/>
      <c r="D117" s="288"/>
      <c r="E117" s="90"/>
      <c r="F117" s="90"/>
    </row>
    <row r="118" spans="2:6" x14ac:dyDescent="0.35">
      <c r="B118" s="624"/>
      <c r="C118" s="90"/>
      <c r="D118" s="288"/>
      <c r="E118" s="90"/>
      <c r="F118" s="90"/>
    </row>
    <row r="119" spans="2:6" x14ac:dyDescent="0.35">
      <c r="B119" s="624"/>
      <c r="C119" s="90"/>
      <c r="D119" s="288"/>
      <c r="E119" s="90"/>
      <c r="F119" s="90"/>
    </row>
    <row r="120" spans="2:6" x14ac:dyDescent="0.35">
      <c r="B120" s="624"/>
      <c r="C120" s="90"/>
      <c r="D120" s="288"/>
      <c r="E120" s="90"/>
      <c r="F120" s="90"/>
    </row>
    <row r="121" spans="2:6" x14ac:dyDescent="0.35">
      <c r="B121" s="624"/>
      <c r="C121" s="90"/>
      <c r="D121" s="288"/>
      <c r="E121" s="90"/>
      <c r="F121" s="90"/>
    </row>
    <row r="122" spans="2:6" ht="15" thickBot="1" x14ac:dyDescent="0.4">
      <c r="B122" s="625"/>
      <c r="C122" s="90"/>
      <c r="D122" s="288"/>
      <c r="E122" s="90"/>
      <c r="F122" s="90"/>
    </row>
    <row r="123" spans="2:6" s="2" customFormat="1" ht="15.75" customHeight="1" thickTop="1" x14ac:dyDescent="0.35">
      <c r="B123" s="53"/>
      <c r="C123" s="2" t="s">
        <v>204</v>
      </c>
      <c r="D123" s="292">
        <f>SUBTOTAL(109,Wasserverbrauch[Wasserverbrauch (m3)])</f>
        <v>0</v>
      </c>
    </row>
    <row r="124" spans="2:6" ht="121.5" customHeight="1" x14ac:dyDescent="0.35">
      <c r="B124" s="183" t="s">
        <v>201</v>
      </c>
    </row>
  </sheetData>
  <sheetProtection algorithmName="SHA-512" hashValue="OsTgk0PZmWpEtTIiHcC/0k3Z+SB7T+ZZiA3NOF01xcL7VL6XH50QOAPcxjm4LLo100gLlA2+geZ1MsFQB5nFxw==" saltValue="Qzl38XATPmFDP5Hl7R5S1g==" spinCount="100000" sheet="1" insertRows="0" deleteRows="0"/>
  <mergeCells count="11">
    <mergeCell ref="B5:F5"/>
    <mergeCell ref="B12:B15"/>
    <mergeCell ref="B22:B41"/>
    <mergeCell ref="C19:F19"/>
    <mergeCell ref="C46:F46"/>
    <mergeCell ref="B8:F8"/>
    <mergeCell ref="B49:B68"/>
    <mergeCell ref="C73:F73"/>
    <mergeCell ref="B76:B95"/>
    <mergeCell ref="C100:F100"/>
    <mergeCell ref="B103:B122"/>
  </mergeCells>
  <dataValidations count="3">
    <dataValidation type="list" allowBlank="1" showInputMessage="1" showErrorMessage="1" sqref="E43 E70 E97 E124" xr:uid="{5C4369EA-9807-4239-BEDC-6634AD187BAB}">
      <formula1>INDIRECT($B43)</formula1>
    </dataValidation>
    <dataValidation type="list" allowBlank="1" showInputMessage="1" showErrorMessage="1" sqref="D43 D70 C49:C68 D97 C76:C95 D124 C103:C122 C22:C41" xr:uid="{5839356D-6290-449C-889C-346AF26E2C1E}">
      <formula1>Gliederungselemente</formula1>
    </dataValidation>
    <dataValidation type="decimal" operator="notEqual" allowBlank="1" showInputMessage="1" showErrorMessage="1" errorTitle="Ungültiger Wert!" error="Bitte tragen Sie eine Zahl ein." sqref="D22 D49 D76 D103" xr:uid="{2B279F74-D01E-4258-A29E-EFDF2E942169}">
      <formula1>0</formula1>
    </dataValidation>
  </dataValidations>
  <hyperlinks>
    <hyperlink ref="D12:D15" location="'Datenerfassung (3)'!F23:F42" display="Energie_Wärme" xr:uid="{76CBE17B-EA7A-4C95-A094-E8F6246EBFE2}"/>
    <hyperlink ref="D12" location="Bez_Papier" display="Papierverbrauch Büro" xr:uid="{208E8A1A-08CC-45BE-B667-F13A8ACBCDE2}"/>
    <hyperlink ref="D13" location="Bez_Druck_und_Werbematerialien" display="Druck- und Werbematerialien" xr:uid="{A243BCBB-5352-4E20-89BE-E69F36567E2E}"/>
    <hyperlink ref="D14" location="Bez_Verpackung" display="Verpackungsmaterialien" xr:uid="{A7E930EF-854C-4F1C-AC2D-19A3BF1DB585}"/>
    <hyperlink ref="D15" location="Bez_Wasser" display="Wasserverbrauch" xr:uid="{2570A325-AB66-4276-A4C5-5B84CC45E043}"/>
    <hyperlink ref="B98" location="'Daten Beyond Carbon'!B7:F15" display="Zurück zur Übersicht" xr:uid="{4E20D7E8-C168-4159-848D-45D451A7461E}"/>
    <hyperlink ref="B71" location="'Daten Beyond Carbon'!B7:F15" display="Zurück zur Übersicht" xr:uid="{EF7FF9BC-858E-48F8-BB11-F8D76D9FA699}"/>
    <hyperlink ref="B44" location="'Daten Beyond Carbon'!B7:F15" display="Zurück zur Übersicht" xr:uid="{220F5828-4AFA-4A90-AE4B-9FB2B20FAF05}"/>
    <hyperlink ref="B17" location="'Daten Beyond Carbon'!B7:F15" display="Zurück zur Übersicht" xr:uid="{EDDA96FF-B283-4725-99F9-FFAF4CFB6B66}"/>
  </hyperlink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018" r:id="rId4" name="Check Box 10">
              <controlPr defaultSize="0" autoFill="0" autoLine="0" autoPict="0">
                <anchor moveWithCells="1">
                  <from>
                    <xdr:col>5</xdr:col>
                    <xdr:colOff>889000</xdr:colOff>
                    <xdr:row>11</xdr:row>
                    <xdr:rowOff>0</xdr:rowOff>
                  </from>
                  <to>
                    <xdr:col>5</xdr:col>
                    <xdr:colOff>1098550</xdr:colOff>
                    <xdr:row>11</xdr:row>
                    <xdr:rowOff>184150</xdr:rowOff>
                  </to>
                </anchor>
              </controlPr>
            </control>
          </mc:Choice>
        </mc:AlternateContent>
        <mc:AlternateContent xmlns:mc="http://schemas.openxmlformats.org/markup-compatibility/2006">
          <mc:Choice Requires="x14">
            <control shapeId="43019" r:id="rId5" name="Check Box 11">
              <controlPr defaultSize="0" autoFill="0" autoLine="0" autoPict="0">
                <anchor moveWithCells="1">
                  <from>
                    <xdr:col>5</xdr:col>
                    <xdr:colOff>889000</xdr:colOff>
                    <xdr:row>12</xdr:row>
                    <xdr:rowOff>0</xdr:rowOff>
                  </from>
                  <to>
                    <xdr:col>5</xdr:col>
                    <xdr:colOff>1098550</xdr:colOff>
                    <xdr:row>12</xdr:row>
                    <xdr:rowOff>184150</xdr:rowOff>
                  </to>
                </anchor>
              </controlPr>
            </control>
          </mc:Choice>
        </mc:AlternateContent>
        <mc:AlternateContent xmlns:mc="http://schemas.openxmlformats.org/markup-compatibility/2006">
          <mc:Choice Requires="x14">
            <control shapeId="43020" r:id="rId6" name="Check Box 12">
              <controlPr defaultSize="0" autoFill="0" autoLine="0" autoPict="0">
                <anchor moveWithCells="1">
                  <from>
                    <xdr:col>5</xdr:col>
                    <xdr:colOff>889000</xdr:colOff>
                    <xdr:row>14</xdr:row>
                    <xdr:rowOff>0</xdr:rowOff>
                  </from>
                  <to>
                    <xdr:col>5</xdr:col>
                    <xdr:colOff>1098550</xdr:colOff>
                    <xdr:row>14</xdr:row>
                    <xdr:rowOff>184150</xdr:rowOff>
                  </to>
                </anchor>
              </controlPr>
            </control>
          </mc:Choice>
        </mc:AlternateContent>
        <mc:AlternateContent xmlns:mc="http://schemas.openxmlformats.org/markup-compatibility/2006">
          <mc:Choice Requires="x14">
            <control shapeId="43022" r:id="rId7" name="Check Box 14">
              <controlPr defaultSize="0" autoFill="0" autoLine="0" autoPict="0">
                <anchor moveWithCells="1">
                  <from>
                    <xdr:col>5</xdr:col>
                    <xdr:colOff>889000</xdr:colOff>
                    <xdr:row>13</xdr:row>
                    <xdr:rowOff>0</xdr:rowOff>
                  </from>
                  <to>
                    <xdr:col>5</xdr:col>
                    <xdr:colOff>1098550</xdr:colOff>
                    <xdr:row>13</xdr:row>
                    <xdr:rowOff>184150</xdr:rowOff>
                  </to>
                </anchor>
              </controlPr>
            </control>
          </mc:Choice>
        </mc:AlternateContent>
      </controls>
    </mc:Choice>
  </mc:AlternateContent>
  <tableParts count="4">
    <tablePart r:id="rId8"/>
    <tablePart r:id="rId9"/>
    <tablePart r:id="rId10"/>
    <tablePart r:id="rId11"/>
  </tableParts>
  <extLst>
    <ext xmlns:x14="http://schemas.microsoft.com/office/spreadsheetml/2009/9/main" uri="{CCE6A557-97BC-4b89-ADB6-D9C93CAAB3DF}">
      <x14:dataValidations xmlns:xm="http://schemas.microsoft.com/office/excel/2006/main" count="1">
        <x14:dataValidation type="list" allowBlank="1" showInputMessage="1" showErrorMessage="1" xr:uid="{5F65D242-00DC-47A8-8F90-D0DD2510CCFE}">
          <x14:formula1>
            <xm:f>INDIRECT(Dropdowns!$B$18)</xm:f>
          </x14:formula1>
          <xm:sqref>H43 H124 H97 H70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74097-2FEB-495F-B466-48E82CEE3A11}">
  <sheetPr codeName="Tabelle7">
    <tabColor theme="7"/>
  </sheetPr>
  <dimension ref="A1:BB245"/>
  <sheetViews>
    <sheetView showGridLines="0" zoomScaleNormal="100" workbookViewId="0">
      <pane ySplit="9" topLeftCell="A10" activePane="bottomLeft" state="frozen"/>
      <selection activeCell="B1" sqref="B1"/>
      <selection pane="bottomLeft"/>
    </sheetView>
  </sheetViews>
  <sheetFormatPr baseColWidth="10" defaultRowHeight="14.5" x14ac:dyDescent="0.35"/>
  <cols>
    <col min="1" max="1" width="8.81640625" customWidth="1"/>
    <col min="2" max="2" width="8.1796875" style="15" customWidth="1"/>
    <col min="3" max="3" width="44.1796875" style="10" customWidth="1"/>
    <col min="4" max="7" width="20" customWidth="1"/>
    <col min="8" max="8" width="20.08984375" style="8" customWidth="1"/>
    <col min="9" max="9" width="11.453125" style="8" customWidth="1"/>
    <col min="10" max="15" width="11.453125" style="8"/>
    <col min="27" max="27" width="1.7265625" customWidth="1"/>
    <col min="28" max="28" width="4.6328125" customWidth="1"/>
    <col min="29" max="29" width="8.1796875" customWidth="1"/>
    <col min="30" max="30" width="44.08984375" customWidth="1"/>
    <col min="31" max="35" width="20.08984375" customWidth="1"/>
    <col min="36" max="53" width="11.36328125" customWidth="1"/>
  </cols>
  <sheetData>
    <row r="1" spans="1:54" ht="3" customHeight="1" x14ac:dyDescent="0.35">
      <c r="AA1" s="28"/>
      <c r="AJ1" s="8"/>
      <c r="AK1" s="8"/>
    </row>
    <row r="2" spans="1:54" ht="3" customHeight="1" x14ac:dyDescent="0.35">
      <c r="AA2" s="28"/>
      <c r="AJ2" s="8"/>
      <c r="AK2" s="8"/>
    </row>
    <row r="3" spans="1:54" ht="22" customHeight="1" x14ac:dyDescent="0.45">
      <c r="B3" s="208" t="s">
        <v>556</v>
      </c>
      <c r="C3" s="9"/>
      <c r="D3" s="630" t="s">
        <v>312</v>
      </c>
      <c r="F3" s="642" t="s">
        <v>462</v>
      </c>
      <c r="G3" s="643"/>
      <c r="M3" s="23"/>
      <c r="N3" s="23"/>
      <c r="O3" s="23"/>
      <c r="P3" s="2"/>
      <c r="Q3" s="23"/>
      <c r="R3" s="23"/>
      <c r="S3" s="23"/>
      <c r="AA3" s="28"/>
      <c r="AC3" s="208" t="s">
        <v>557</v>
      </c>
      <c r="AD3" s="9"/>
      <c r="AE3" s="630" t="s">
        <v>312</v>
      </c>
      <c r="AG3" s="642" t="s">
        <v>462</v>
      </c>
      <c r="AH3" s="643"/>
      <c r="AI3" s="8"/>
      <c r="AJ3" s="446"/>
      <c r="AK3" s="445"/>
      <c r="AL3" s="445"/>
      <c r="AM3" s="445"/>
      <c r="AN3" s="445"/>
      <c r="AO3" s="445"/>
      <c r="AP3" s="445"/>
      <c r="AQ3" s="445"/>
      <c r="AR3" s="445"/>
      <c r="AS3" s="445"/>
      <c r="AT3" s="445"/>
      <c r="AU3" s="445"/>
      <c r="AV3" s="445"/>
      <c r="AW3" s="445"/>
      <c r="AX3" s="445"/>
      <c r="AY3" s="445"/>
      <c r="AZ3" s="445"/>
      <c r="BA3" s="445"/>
      <c r="BB3" s="445"/>
    </row>
    <row r="4" spans="1:54" ht="13.5" customHeight="1" thickBot="1" x14ac:dyDescent="0.4">
      <c r="B4" s="636" t="s">
        <v>313</v>
      </c>
      <c r="C4" s="636"/>
      <c r="D4" s="630"/>
      <c r="F4" s="430" t="s">
        <v>456</v>
      </c>
      <c r="G4" s="431" t="s">
        <v>457</v>
      </c>
      <c r="H4" s="629"/>
      <c r="I4" s="629"/>
      <c r="T4" s="8"/>
      <c r="AA4" s="28"/>
      <c r="AC4" s="636" t="s">
        <v>313</v>
      </c>
      <c r="AD4" s="636"/>
      <c r="AE4" s="630"/>
      <c r="AG4" s="430" t="s">
        <v>456</v>
      </c>
      <c r="AH4" s="431" t="s">
        <v>457</v>
      </c>
      <c r="AI4" s="447"/>
      <c r="AJ4" s="448"/>
      <c r="AK4" s="8"/>
    </row>
    <row r="5" spans="1:54" ht="21.75" customHeight="1" thickTop="1" thickBot="1" x14ac:dyDescent="0.4">
      <c r="B5" s="634" t="s">
        <v>319</v>
      </c>
      <c r="C5" s="635"/>
      <c r="D5" s="209" t="s">
        <v>209</v>
      </c>
      <c r="F5" s="423" t="s">
        <v>464</v>
      </c>
      <c r="G5" s="429" t="s">
        <v>464</v>
      </c>
      <c r="H5" s="640" t="s">
        <v>458</v>
      </c>
      <c r="I5" s="641"/>
      <c r="J5" s="641"/>
      <c r="O5"/>
      <c r="S5" s="8"/>
      <c r="AA5" s="28"/>
      <c r="AC5" s="634" t="s">
        <v>319</v>
      </c>
      <c r="AD5" s="635"/>
      <c r="AE5" s="209" t="s">
        <v>209</v>
      </c>
      <c r="AG5" s="423" t="s">
        <v>464</v>
      </c>
      <c r="AH5" s="429" t="s">
        <v>464</v>
      </c>
      <c r="AI5" s="640" t="s">
        <v>458</v>
      </c>
      <c r="AJ5" s="641"/>
      <c r="AK5" s="641"/>
    </row>
    <row r="6" spans="1:54" ht="21.75" customHeight="1" thickTop="1" x14ac:dyDescent="0.35">
      <c r="B6" s="634" t="s">
        <v>208</v>
      </c>
      <c r="C6" s="635"/>
      <c r="D6" s="210" t="s">
        <v>209</v>
      </c>
      <c r="F6" s="423" t="s">
        <v>463</v>
      </c>
      <c r="G6" s="449" t="s">
        <v>463</v>
      </c>
      <c r="H6" s="641" t="s">
        <v>459</v>
      </c>
      <c r="I6" s="641"/>
      <c r="J6" s="641"/>
      <c r="O6"/>
      <c r="S6" s="8"/>
      <c r="AA6" s="28"/>
      <c r="AC6" s="634" t="s">
        <v>208</v>
      </c>
      <c r="AD6" s="635"/>
      <c r="AE6" s="210" t="s">
        <v>209</v>
      </c>
      <c r="AG6" s="423" t="s">
        <v>463</v>
      </c>
      <c r="AH6" s="449" t="s">
        <v>463</v>
      </c>
      <c r="AI6" s="641" t="s">
        <v>459</v>
      </c>
      <c r="AJ6" s="641"/>
      <c r="AK6" s="641"/>
    </row>
    <row r="7" spans="1:54" ht="3.5" customHeight="1" x14ac:dyDescent="0.35">
      <c r="B7" s="27"/>
      <c r="C7" s="9"/>
      <c r="D7" s="644"/>
      <c r="E7" s="644"/>
      <c r="F7" s="644"/>
      <c r="G7" s="644"/>
      <c r="T7" s="8"/>
      <c r="AA7" s="28"/>
    </row>
    <row r="8" spans="1:54" ht="3.5" customHeight="1" thickBot="1" x14ac:dyDescent="0.4">
      <c r="B8" s="27"/>
      <c r="C8" s="9"/>
      <c r="D8" s="476"/>
      <c r="E8" s="476"/>
      <c r="F8" s="476"/>
      <c r="G8" s="476"/>
      <c r="T8" s="8"/>
      <c r="AA8" s="28"/>
    </row>
    <row r="9" spans="1:54" ht="3" customHeight="1" thickBot="1" x14ac:dyDescent="0.4">
      <c r="A9" s="223"/>
      <c r="B9" s="224"/>
      <c r="C9" s="225"/>
      <c r="D9" s="226"/>
      <c r="E9" s="226"/>
      <c r="F9" s="226"/>
      <c r="G9" s="226"/>
      <c r="H9" s="227"/>
      <c r="I9" s="227"/>
      <c r="J9" s="227"/>
      <c r="K9" s="227"/>
      <c r="L9" s="227"/>
      <c r="M9" s="227"/>
      <c r="N9" s="227"/>
      <c r="O9" s="227"/>
      <c r="P9" s="228"/>
      <c r="Q9" s="228"/>
      <c r="R9" s="228"/>
      <c r="S9" s="228"/>
      <c r="T9" s="227"/>
      <c r="U9" s="228"/>
      <c r="V9" s="228"/>
      <c r="W9" s="228"/>
      <c r="X9" s="228"/>
      <c r="Y9" s="228"/>
      <c r="Z9" s="229"/>
      <c r="AA9" s="228"/>
      <c r="AB9" s="223"/>
      <c r="AC9" s="224"/>
      <c r="AD9" s="225"/>
      <c r="AE9" s="226"/>
      <c r="AF9" s="226"/>
      <c r="AG9" s="226"/>
      <c r="AH9" s="226"/>
      <c r="AI9" s="227"/>
      <c r="AJ9" s="227"/>
      <c r="AK9" s="227"/>
      <c r="AL9" s="227"/>
      <c r="AM9" s="227"/>
      <c r="AN9" s="227"/>
      <c r="AO9" s="227"/>
      <c r="AP9" s="227"/>
      <c r="AQ9" s="228"/>
      <c r="AR9" s="228"/>
      <c r="AS9" s="228"/>
      <c r="AT9" s="228"/>
      <c r="AU9" s="227"/>
      <c r="AV9" s="228"/>
      <c r="AW9" s="228"/>
      <c r="AX9" s="228"/>
      <c r="AY9" s="228"/>
      <c r="AZ9" s="228"/>
      <c r="BA9" s="229"/>
    </row>
    <row r="10" spans="1:54" ht="15.75" customHeight="1" x14ac:dyDescent="0.35">
      <c r="A10" s="230"/>
      <c r="B10" s="231"/>
      <c r="C10" s="232"/>
      <c r="D10" s="233"/>
      <c r="E10" s="233"/>
      <c r="F10" s="233"/>
      <c r="G10" s="233"/>
      <c r="H10" s="234"/>
      <c r="I10" s="234"/>
      <c r="J10" s="234"/>
      <c r="K10" s="234"/>
      <c r="L10" s="234"/>
      <c r="M10" s="234"/>
      <c r="N10" s="234"/>
      <c r="O10" s="234"/>
      <c r="P10" s="233"/>
      <c r="Q10" s="233"/>
      <c r="R10" s="233"/>
      <c r="S10" s="233"/>
      <c r="T10" s="234"/>
      <c r="U10" s="233"/>
      <c r="V10" s="233"/>
      <c r="W10" s="233"/>
      <c r="X10" s="233"/>
      <c r="Y10" s="233"/>
      <c r="Z10" s="235"/>
      <c r="AA10" s="424"/>
      <c r="AB10" s="230"/>
      <c r="AC10" s="231"/>
      <c r="AD10" s="232"/>
      <c r="AE10" s="233"/>
      <c r="AF10" s="233"/>
      <c r="AG10" s="233"/>
      <c r="AH10" s="233"/>
      <c r="AI10" s="234"/>
      <c r="AJ10" s="234"/>
      <c r="AK10" s="234"/>
      <c r="AL10" s="234"/>
      <c r="AM10" s="234"/>
      <c r="AN10" s="234"/>
      <c r="AO10" s="234"/>
      <c r="AP10" s="234"/>
      <c r="AQ10" s="233"/>
      <c r="AR10" s="233"/>
      <c r="AS10" s="233"/>
      <c r="AT10" s="233"/>
      <c r="AU10" s="234"/>
      <c r="AV10" s="233"/>
      <c r="AW10" s="233"/>
      <c r="AX10" s="233"/>
      <c r="AY10" s="233"/>
      <c r="AZ10" s="233"/>
      <c r="BA10" s="235"/>
    </row>
    <row r="11" spans="1:54" ht="19.5" customHeight="1" x14ac:dyDescent="0.5">
      <c r="A11" s="215"/>
      <c r="B11" s="242" t="s">
        <v>454</v>
      </c>
      <c r="C11" s="243"/>
      <c r="D11" s="647" t="str">
        <f>IF(ISBLANK(Stammdaten!$C$8),"",Stammdaten!$C$8)</f>
        <v/>
      </c>
      <c r="E11" s="647"/>
      <c r="F11" s="647"/>
      <c r="G11" s="647"/>
      <c r="H11" s="217"/>
      <c r="I11" s="217"/>
      <c r="J11" s="217"/>
      <c r="K11" s="217"/>
      <c r="L11" s="217"/>
      <c r="M11" s="217"/>
      <c r="N11" s="217"/>
      <c r="O11" s="217"/>
      <c r="P11" s="110"/>
      <c r="Q11" s="110"/>
      <c r="R11" s="110"/>
      <c r="S11" s="110"/>
      <c r="T11" s="217"/>
      <c r="U11" s="110"/>
      <c r="V11" s="110"/>
      <c r="W11" s="110"/>
      <c r="X11" s="110"/>
      <c r="Y11" s="110"/>
      <c r="Z11" s="216"/>
      <c r="AA11" s="28"/>
      <c r="AB11" s="215"/>
      <c r="AC11" s="242" t="s">
        <v>460</v>
      </c>
      <c r="AD11" s="243"/>
      <c r="AE11" s="647" t="str">
        <f>IF(ISBLANK(Stammdaten!$C$8),"",Stammdaten!$C$8)</f>
        <v/>
      </c>
      <c r="AF11" s="647"/>
      <c r="AG11" s="647"/>
      <c r="AH11" s="647"/>
      <c r="AI11" s="217"/>
      <c r="AJ11" s="217"/>
      <c r="AK11" s="217"/>
      <c r="AL11" s="217"/>
      <c r="AM11" s="217"/>
      <c r="AN11" s="217"/>
      <c r="AO11" s="217"/>
      <c r="AP11" s="217"/>
      <c r="AQ11" s="110"/>
      <c r="AR11" s="110"/>
      <c r="AS11" s="110"/>
      <c r="AT11" s="110"/>
      <c r="AU11" s="217"/>
      <c r="AV11" s="110"/>
      <c r="AW11" s="110"/>
      <c r="AX11" s="110"/>
      <c r="AY11" s="110"/>
      <c r="AZ11" s="110"/>
      <c r="BA11" s="216"/>
    </row>
    <row r="12" spans="1:54" ht="15" thickBot="1" x14ac:dyDescent="0.4">
      <c r="A12" s="236"/>
      <c r="B12" s="237"/>
      <c r="C12" s="238"/>
      <c r="D12" s="239"/>
      <c r="E12" s="239"/>
      <c r="F12" s="239"/>
      <c r="G12" s="239"/>
      <c r="H12" s="240"/>
      <c r="I12" s="240"/>
      <c r="J12" s="240"/>
      <c r="K12" s="240"/>
      <c r="L12" s="240"/>
      <c r="M12" s="240"/>
      <c r="N12" s="240"/>
      <c r="O12" s="240"/>
      <c r="P12" s="239"/>
      <c r="Q12" s="239"/>
      <c r="R12" s="239"/>
      <c r="S12" s="239"/>
      <c r="T12" s="240"/>
      <c r="U12" s="239"/>
      <c r="V12" s="239"/>
      <c r="W12" s="239"/>
      <c r="X12" s="239"/>
      <c r="Y12" s="239"/>
      <c r="Z12" s="241"/>
      <c r="AA12" s="425"/>
      <c r="AB12" s="236"/>
      <c r="AC12" s="237"/>
      <c r="AD12" s="238"/>
      <c r="AE12" s="239"/>
      <c r="AF12" s="239"/>
      <c r="AG12" s="239"/>
      <c r="AH12" s="239"/>
      <c r="AI12" s="240"/>
      <c r="AJ12" s="240"/>
      <c r="AK12" s="240"/>
      <c r="AL12" s="240"/>
      <c r="AM12" s="240"/>
      <c r="AN12" s="240"/>
      <c r="AO12" s="240"/>
      <c r="AP12" s="240"/>
      <c r="AQ12" s="239"/>
      <c r="AR12" s="239"/>
      <c r="AS12" s="239"/>
      <c r="AT12" s="239"/>
      <c r="AU12" s="240"/>
      <c r="AV12" s="239"/>
      <c r="AW12" s="239"/>
      <c r="AX12" s="239"/>
      <c r="AY12" s="239"/>
      <c r="AZ12" s="239"/>
      <c r="BA12" s="241"/>
    </row>
    <row r="13" spans="1:54" ht="24" customHeight="1" x14ac:dyDescent="0.35">
      <c r="A13" s="34"/>
      <c r="B13" s="211" t="s">
        <v>326</v>
      </c>
      <c r="C13" s="244"/>
      <c r="D13" s="211" t="str">
        <f>$D$11</f>
        <v/>
      </c>
      <c r="T13" s="8"/>
      <c r="Z13" s="35"/>
      <c r="AA13" s="28"/>
      <c r="AB13" s="34"/>
      <c r="AC13" s="211" t="s">
        <v>326</v>
      </c>
      <c r="AD13" s="244"/>
      <c r="AE13" s="211" t="str">
        <f>$D$11</f>
        <v/>
      </c>
      <c r="AI13" s="8"/>
      <c r="AJ13" s="8"/>
      <c r="AK13" s="8"/>
      <c r="AL13" s="8"/>
      <c r="AM13" s="8"/>
      <c r="AN13" s="8"/>
      <c r="AO13" s="8"/>
      <c r="AP13" s="8"/>
      <c r="AU13" s="8"/>
      <c r="BA13" s="35"/>
    </row>
    <row r="14" spans="1:54" ht="12" customHeight="1" x14ac:dyDescent="0.35">
      <c r="A14" s="34"/>
      <c r="B14" s="212"/>
      <c r="T14" s="8"/>
      <c r="Z14" s="35"/>
      <c r="AA14" s="28"/>
      <c r="AB14" s="34"/>
      <c r="AC14" s="212"/>
      <c r="AD14" s="10"/>
      <c r="AI14" s="8"/>
      <c r="AJ14" s="8"/>
      <c r="AK14" s="8"/>
      <c r="AL14" s="8"/>
      <c r="AM14" s="8"/>
      <c r="AN14" s="8"/>
      <c r="AO14" s="8"/>
      <c r="AP14" s="8"/>
      <c r="AU14" s="8"/>
      <c r="BA14" s="35"/>
    </row>
    <row r="15" spans="1:54" ht="49.5" customHeight="1" thickBot="1" x14ac:dyDescent="0.4">
      <c r="A15" s="34"/>
      <c r="C15" s="163"/>
      <c r="D15" s="175" t="s">
        <v>585</v>
      </c>
      <c r="E15" s="175" t="s">
        <v>587</v>
      </c>
      <c r="F15" s="175" t="s">
        <v>586</v>
      </c>
      <c r="G15" s="175" t="s">
        <v>588</v>
      </c>
      <c r="I15"/>
      <c r="J15"/>
      <c r="K15"/>
      <c r="L15"/>
      <c r="M15"/>
      <c r="N15"/>
      <c r="O15"/>
      <c r="Z15" s="35"/>
      <c r="AA15" s="28"/>
      <c r="AB15" s="34"/>
      <c r="AC15" s="15"/>
      <c r="AD15" s="163"/>
      <c r="AE15" s="175" t="s">
        <v>585</v>
      </c>
      <c r="AF15" s="175" t="s">
        <v>587</v>
      </c>
      <c r="AG15" s="175" t="s">
        <v>586</v>
      </c>
      <c r="AH15" s="175" t="s">
        <v>588</v>
      </c>
      <c r="AI15" s="8"/>
      <c r="AK15" s="411"/>
      <c r="BA15" s="35"/>
    </row>
    <row r="16" spans="1:54" ht="25.5" customHeight="1" x14ac:dyDescent="0.35">
      <c r="A16" s="34"/>
      <c r="C16" s="469" t="s">
        <v>322</v>
      </c>
      <c r="D16" s="463">
        <f>$G$37</f>
        <v>0</v>
      </c>
      <c r="E16" s="463" t="e">
        <f>(D$16*1000)/Stammdaten!$C$12</f>
        <v>#DIV/0!</v>
      </c>
      <c r="F16" s="463" t="e">
        <f>(D$16*1000)/(SUM(Tab_Gliederungselemente[Nettogrundfläche (m2)]))</f>
        <v>#DIV/0!</v>
      </c>
      <c r="G16" s="463" t="e">
        <f>IF($D$5="ja",(D$16*1000)/(Anreise_Besuchende[[#Totals],[Besuchendenanzahl]]),"")</f>
        <v>#DIV/0!</v>
      </c>
      <c r="I16"/>
      <c r="J16"/>
      <c r="K16"/>
      <c r="L16"/>
      <c r="M16"/>
      <c r="N16"/>
      <c r="O16"/>
      <c r="Z16" s="35"/>
      <c r="AA16" s="28"/>
      <c r="AB16" s="34"/>
      <c r="AC16" s="15"/>
      <c r="AD16" s="469" t="s">
        <v>322</v>
      </c>
      <c r="AE16" s="463">
        <f>$AH$37</f>
        <v>0</v>
      </c>
      <c r="AF16" s="463" t="e">
        <f>(AE$16*1000)/Stammdaten!$C$12</f>
        <v>#DIV/0!</v>
      </c>
      <c r="AG16" s="463" t="e">
        <f>(AE$16*1000)/(SUM(Tab_Gliederungselemente[Nettogrundfläche (m2)]))</f>
        <v>#DIV/0!</v>
      </c>
      <c r="AH16" s="463" t="e">
        <f>IF($AE$5="ja",(AE$16*1000)/(Anreise_Besuchende[[#Totals],[Besuchendenanzahl]]),"")</f>
        <v>#DIV/0!</v>
      </c>
      <c r="AI16" s="8"/>
      <c r="BA16" s="35"/>
    </row>
    <row r="17" spans="1:53" ht="25.5" customHeight="1" x14ac:dyDescent="0.35">
      <c r="A17" s="34"/>
      <c r="C17" s="213" t="s">
        <v>320</v>
      </c>
      <c r="D17" s="293">
        <f>IF($D$5="ja",$G$42,"")</f>
        <v>0</v>
      </c>
      <c r="E17" s="293" t="e">
        <f>IF($D$5="ja",(D$17*1000)/Stammdaten!$C$12,"")</f>
        <v>#DIV/0!</v>
      </c>
      <c r="F17" s="293" t="e">
        <f>IF($D$5="ja",(D$17*1000)/(SUM(Tab_Gliederungselemente[Nettogrundfläche (m2)])),"")</f>
        <v>#DIV/0!</v>
      </c>
      <c r="G17" s="293" t="e">
        <f>IF($D$5="ja",(D$17*1000)/(Anreise_Besuchende[[#Totals],[Besuchendenanzahl]]),"")</f>
        <v>#DIV/0!</v>
      </c>
      <c r="I17"/>
      <c r="J17"/>
      <c r="K17"/>
      <c r="L17"/>
      <c r="M17"/>
      <c r="N17"/>
      <c r="O17"/>
      <c r="Z17" s="35"/>
      <c r="AA17" s="28"/>
      <c r="AB17" s="34"/>
      <c r="AC17" s="15"/>
      <c r="AD17" s="213" t="s">
        <v>320</v>
      </c>
      <c r="AE17" s="293">
        <f>IF($AE$5="ja",$AH$42,"")</f>
        <v>0</v>
      </c>
      <c r="AF17" s="293" t="e">
        <f>IF($AE$5="ja",(AE$17*1000)/Stammdaten!$C$12,"")</f>
        <v>#DIV/0!</v>
      </c>
      <c r="AG17" s="293" t="e">
        <f>IF($AE$5="ja",(AE$17*1000)/(SUM(Tab_Gliederungselemente[Nettogrundfläche (m2)])),"")</f>
        <v>#DIV/0!</v>
      </c>
      <c r="AH17" s="293" t="e">
        <f>IF($AE$5="ja",(AE$17*1000)/(Anreise_Besuchende[[#Totals],[Besuchendenanzahl]]),"")</f>
        <v>#DIV/0!</v>
      </c>
      <c r="AI17" s="8"/>
      <c r="BA17" s="35"/>
    </row>
    <row r="18" spans="1:53" ht="25.5" customHeight="1" x14ac:dyDescent="0.35">
      <c r="A18" s="34"/>
      <c r="C18" s="214" t="s">
        <v>321</v>
      </c>
      <c r="D18" s="294">
        <f>IF($D$5="ja",SUM(D16,D17),"")</f>
        <v>0</v>
      </c>
      <c r="E18" s="294" t="e">
        <f>IF($D$5="ja",(D$18*1000)/Stammdaten!$C$12,"")</f>
        <v>#DIV/0!</v>
      </c>
      <c r="F18" s="294" t="e">
        <f>IF($D$5="ja",(D$18*1000)/(SUM(Tab_Gliederungselemente[Nettogrundfläche (m2)])),"")</f>
        <v>#DIV/0!</v>
      </c>
      <c r="G18" s="294" t="e">
        <f>IF($D$5="ja",(D$18*1000)/(Anreise_Besuchende[[#Totals],[Besuchendenanzahl]]),"")</f>
        <v>#DIV/0!</v>
      </c>
      <c r="I18"/>
      <c r="J18"/>
      <c r="K18"/>
      <c r="L18"/>
      <c r="M18"/>
      <c r="N18"/>
      <c r="O18"/>
      <c r="Z18" s="35"/>
      <c r="AA18" s="28"/>
      <c r="AB18" s="34"/>
      <c r="AC18" s="15"/>
      <c r="AD18" s="214" t="s">
        <v>321</v>
      </c>
      <c r="AE18" s="294">
        <f>IF($AE$5="ja",SUM(AE16,AE17),"")</f>
        <v>0</v>
      </c>
      <c r="AF18" s="294" t="e">
        <f>IF($AE$5="ja",(AE$18*1000)/Stammdaten!$C$12,"")</f>
        <v>#DIV/0!</v>
      </c>
      <c r="AG18" s="294" t="e">
        <f>IF($AE$5="ja",(AE$18*1000)/(SUM(Tab_Gliederungselemente[Nettogrundfläche (m2)])),"")</f>
        <v>#DIV/0!</v>
      </c>
      <c r="AH18" s="294" t="e">
        <f>IF($AE$5="ja",(AE$18*1000)/(Anreise_Besuchende[[#Totals],[Besuchendenanzahl]]),"")</f>
        <v>#DIV/0!</v>
      </c>
      <c r="AI18" s="8"/>
      <c r="BA18" s="35"/>
    </row>
    <row r="19" spans="1:53" ht="27.75" customHeight="1" x14ac:dyDescent="0.35">
      <c r="A19" s="34"/>
      <c r="I19" s="42"/>
      <c r="J19" s="42"/>
      <c r="K19" s="42"/>
      <c r="L19" s="42"/>
      <c r="M19" s="42"/>
      <c r="N19" s="42"/>
      <c r="O19" s="42"/>
      <c r="P19" s="42"/>
      <c r="Q19" s="8"/>
      <c r="R19" s="8"/>
      <c r="S19" s="8"/>
      <c r="T19" s="8"/>
      <c r="U19" s="8"/>
      <c r="V19" s="8"/>
      <c r="Z19" s="35"/>
      <c r="AA19" s="28"/>
      <c r="AB19" s="34"/>
      <c r="AC19" s="15"/>
      <c r="AD19" s="10"/>
      <c r="AI19" s="8"/>
      <c r="AJ19" s="42"/>
      <c r="AK19" s="42"/>
      <c r="AL19" s="42"/>
      <c r="AM19" s="42"/>
      <c r="AN19" s="42"/>
      <c r="AO19" s="42"/>
      <c r="AP19" s="42"/>
      <c r="AQ19" s="42"/>
      <c r="AR19" s="8"/>
      <c r="AS19" s="8"/>
      <c r="AT19" s="8"/>
      <c r="AU19" s="8"/>
      <c r="AV19" s="8"/>
      <c r="AW19" s="8"/>
      <c r="BA19" s="35"/>
    </row>
    <row r="20" spans="1:53" ht="18.75" customHeight="1" thickBot="1" x14ac:dyDescent="0.4">
      <c r="A20" s="34"/>
      <c r="C20" s="177"/>
      <c r="D20" s="648" t="s">
        <v>0</v>
      </c>
      <c r="E20" s="648"/>
      <c r="F20" s="174" t="s">
        <v>204</v>
      </c>
      <c r="G20" s="174" t="s">
        <v>205</v>
      </c>
      <c r="I20" s="42"/>
      <c r="J20" s="42"/>
      <c r="K20" s="42"/>
      <c r="L20" s="42"/>
      <c r="M20" s="42"/>
      <c r="N20" s="42"/>
      <c r="O20" s="42"/>
      <c r="P20" s="42"/>
      <c r="Q20" s="8"/>
      <c r="R20" s="8"/>
      <c r="S20" s="8"/>
      <c r="T20" s="8"/>
      <c r="U20" s="8"/>
      <c r="V20" s="8"/>
      <c r="Z20" s="35"/>
      <c r="AA20" s="28"/>
      <c r="AB20" s="34"/>
      <c r="AC20" s="15"/>
      <c r="AD20" s="177"/>
      <c r="AE20" s="648" t="s">
        <v>0</v>
      </c>
      <c r="AF20" s="648"/>
      <c r="AG20" s="174" t="s">
        <v>204</v>
      </c>
      <c r="AH20" s="174" t="s">
        <v>205</v>
      </c>
      <c r="AI20" s="8"/>
      <c r="AJ20" s="42"/>
      <c r="AK20" s="42"/>
      <c r="AL20" s="42"/>
      <c r="AM20" s="42"/>
      <c r="AN20" s="42"/>
      <c r="AO20" s="42"/>
      <c r="AP20" s="42"/>
      <c r="AQ20" s="42"/>
      <c r="AR20" s="8"/>
      <c r="AS20" s="8"/>
      <c r="AT20" s="8"/>
      <c r="AU20" s="8"/>
      <c r="AV20" s="8"/>
      <c r="AW20" s="8"/>
      <c r="BA20" s="35"/>
    </row>
    <row r="21" spans="1:53" ht="18.75" customHeight="1" x14ac:dyDescent="0.35">
      <c r="A21" s="34"/>
      <c r="C21" s="638" t="s">
        <v>203</v>
      </c>
      <c r="D21" s="649" t="s">
        <v>195</v>
      </c>
      <c r="E21" s="649"/>
      <c r="F21" s="176">
        <f>IF($D$6="ja",IFERROR(Papierverbrauch_Büro[[#Totals],[Papierverbrauch 
(Anzahl Blatt Papier)]],""),"")</f>
        <v>0</v>
      </c>
      <c r="G21" s="176" t="str">
        <f>IF($D$6="ja","Blatt Papier","")</f>
        <v>Blatt Papier</v>
      </c>
      <c r="I21" s="42"/>
      <c r="J21" s="42"/>
      <c r="K21" s="42"/>
      <c r="L21" s="42"/>
      <c r="M21" s="42"/>
      <c r="N21" s="42"/>
      <c r="O21" s="42"/>
      <c r="P21" s="42"/>
      <c r="Q21" s="8"/>
      <c r="R21" s="8"/>
      <c r="S21" s="8"/>
      <c r="T21" s="8"/>
      <c r="U21" s="8"/>
      <c r="V21" s="8"/>
      <c r="Z21" s="35"/>
      <c r="AA21" s="28"/>
      <c r="AB21" s="34"/>
      <c r="AC21" s="15"/>
      <c r="AD21" s="638" t="s">
        <v>203</v>
      </c>
      <c r="AE21" s="649" t="s">
        <v>195</v>
      </c>
      <c r="AF21" s="649"/>
      <c r="AG21" s="176">
        <f>IF($AE$6="ja",IFERROR(Papierverbrauch_Büro[[#Totals],[Papierverbrauch 
(Anzahl Blatt Papier)]],""),"")</f>
        <v>0</v>
      </c>
      <c r="AH21" s="176" t="str">
        <f>IF($AE$6="ja","Blatt Papier","")</f>
        <v>Blatt Papier</v>
      </c>
      <c r="AI21" s="8"/>
      <c r="AJ21" s="42"/>
      <c r="AK21" s="42"/>
      <c r="AL21" s="42"/>
      <c r="AM21" s="42"/>
      <c r="AN21" s="42"/>
      <c r="AO21" s="42"/>
      <c r="AP21" s="42"/>
      <c r="AQ21" s="42"/>
      <c r="AR21" s="8"/>
      <c r="AS21" s="8"/>
      <c r="AT21" s="8"/>
      <c r="AU21" s="8"/>
      <c r="AV21" s="8"/>
      <c r="AW21" s="8"/>
      <c r="BA21" s="35"/>
    </row>
    <row r="22" spans="1:53" ht="18.75" customHeight="1" x14ac:dyDescent="0.35">
      <c r="A22" s="34"/>
      <c r="C22" s="639"/>
      <c r="D22" s="650" t="s">
        <v>198</v>
      </c>
      <c r="E22" s="650"/>
      <c r="F22" s="165">
        <f>IF($D$6="ja",IFERROR(Druck_und_Werbematerialien[[#Totals],[Druck- und Werbematerialien
(Kilogramm)]],""),"")</f>
        <v>0</v>
      </c>
      <c r="G22" s="165" t="str">
        <f>IF($D$6="ja","kg","")</f>
        <v>kg</v>
      </c>
      <c r="I22" s="42"/>
      <c r="J22" s="42"/>
      <c r="K22" s="42"/>
      <c r="L22" s="42"/>
      <c r="M22" s="42"/>
      <c r="N22" s="42"/>
      <c r="O22" s="42"/>
      <c r="P22" s="42"/>
      <c r="Q22" s="8"/>
      <c r="R22" s="8"/>
      <c r="S22" s="8"/>
      <c r="T22" s="8"/>
      <c r="U22" s="8"/>
      <c r="V22" s="8"/>
      <c r="Z22" s="35"/>
      <c r="AA22" s="28"/>
      <c r="AB22" s="34"/>
      <c r="AC22" s="15"/>
      <c r="AD22" s="639"/>
      <c r="AE22" s="650" t="s">
        <v>198</v>
      </c>
      <c r="AF22" s="650"/>
      <c r="AG22" s="165">
        <f>IF($AE$6="ja",IFERROR(Druck_und_Werbematerialien[[#Totals],[Druck- und Werbematerialien
(Kilogramm)]],""),"")</f>
        <v>0</v>
      </c>
      <c r="AH22" s="176" t="str">
        <f>IF($AE$6="ja","kg","")</f>
        <v>kg</v>
      </c>
      <c r="AI22" s="8"/>
      <c r="AJ22" s="42"/>
      <c r="AK22" s="42"/>
      <c r="AL22" s="42"/>
      <c r="AM22" s="42"/>
      <c r="AN22" s="42"/>
      <c r="AO22" s="42"/>
      <c r="AP22" s="42"/>
      <c r="AQ22" s="42"/>
      <c r="AR22" s="8"/>
      <c r="AS22" s="8"/>
      <c r="AT22" s="8"/>
      <c r="AU22" s="8"/>
      <c r="AV22" s="8"/>
      <c r="AW22" s="8"/>
      <c r="BA22" s="35"/>
    </row>
    <row r="23" spans="1:53" ht="18.75" customHeight="1" x14ac:dyDescent="0.35">
      <c r="A23" s="34"/>
      <c r="C23" s="639"/>
      <c r="D23" s="650" t="s">
        <v>196</v>
      </c>
      <c r="E23" s="650"/>
      <c r="F23" s="165">
        <f>IF($D$6="ja",IFERROR(Verpackungsmaterialien[[#Totals],[Vepackungsmaterialien 
(Kilogramm)]],""),"")</f>
        <v>0</v>
      </c>
      <c r="G23" s="165" t="str">
        <f>IF($D$6="ja","kg","")</f>
        <v>kg</v>
      </c>
      <c r="I23" s="42"/>
      <c r="J23" s="42"/>
      <c r="K23" s="42"/>
      <c r="L23" s="42"/>
      <c r="M23" s="42"/>
      <c r="N23" s="42"/>
      <c r="O23" s="42"/>
      <c r="P23" s="42"/>
      <c r="Q23" s="8"/>
      <c r="R23" s="8"/>
      <c r="S23" s="8"/>
      <c r="T23" s="8"/>
      <c r="U23" s="8"/>
      <c r="V23" s="8"/>
      <c r="Z23" s="35"/>
      <c r="AA23" s="28"/>
      <c r="AB23" s="34"/>
      <c r="AC23" s="15"/>
      <c r="AD23" s="639"/>
      <c r="AE23" s="650" t="s">
        <v>196</v>
      </c>
      <c r="AF23" s="650"/>
      <c r="AG23" s="165">
        <f>IF($AE$6="ja",IFERROR(Verpackungsmaterialien[[#Totals],[Vepackungsmaterialien 
(Kilogramm)]],""),"")</f>
        <v>0</v>
      </c>
      <c r="AH23" s="176" t="str">
        <f>IF($AE$6="ja","kg","")</f>
        <v>kg</v>
      </c>
      <c r="AI23" s="8"/>
      <c r="AJ23" s="42"/>
      <c r="AK23" s="42"/>
      <c r="AL23" s="42"/>
      <c r="AM23" s="42"/>
      <c r="AN23" s="42"/>
      <c r="AO23" s="42"/>
      <c r="AP23" s="42"/>
      <c r="AQ23" s="42"/>
      <c r="AR23" s="8"/>
      <c r="AS23" s="8"/>
      <c r="AT23" s="8"/>
      <c r="AU23" s="8"/>
      <c r="AV23" s="8"/>
      <c r="AW23" s="8"/>
      <c r="BA23" s="35"/>
    </row>
    <row r="24" spans="1:53" ht="18.75" customHeight="1" x14ac:dyDescent="0.35">
      <c r="A24" s="34"/>
      <c r="C24" s="639"/>
      <c r="D24" s="650" t="s">
        <v>199</v>
      </c>
      <c r="E24" s="650"/>
      <c r="F24" s="165">
        <f>IF($D$6="ja",IFERROR(Wasserverbrauch[[#Totals],[Wasserverbrauch (m3)]],""),"")</f>
        <v>0</v>
      </c>
      <c r="G24" s="166" t="str">
        <f>IF($D$6="ja","m3","")</f>
        <v>m3</v>
      </c>
      <c r="I24" s="42"/>
      <c r="J24" s="42"/>
      <c r="K24" s="42"/>
      <c r="L24" s="42"/>
      <c r="M24" s="42"/>
      <c r="N24" s="42"/>
      <c r="O24" s="42"/>
      <c r="P24" s="42"/>
      <c r="Q24" s="8"/>
      <c r="R24" s="8"/>
      <c r="S24" s="8"/>
      <c r="T24" s="8"/>
      <c r="U24" s="8"/>
      <c r="V24" s="8"/>
      <c r="Z24" s="35"/>
      <c r="AA24" s="28"/>
      <c r="AB24" s="34"/>
      <c r="AC24" s="15"/>
      <c r="AD24" s="639"/>
      <c r="AE24" s="650" t="s">
        <v>199</v>
      </c>
      <c r="AF24" s="650"/>
      <c r="AG24" s="165">
        <f>IF($AE$6="ja",IFERROR(Wasserverbrauch[[#Totals],[Wasserverbrauch (m3)]],""),"")</f>
        <v>0</v>
      </c>
      <c r="AH24" s="166" t="str">
        <f>IF($AE$6="ja","m3","")</f>
        <v>m3</v>
      </c>
      <c r="AI24" s="8"/>
      <c r="AJ24" s="42"/>
      <c r="AK24" s="42"/>
      <c r="AL24" s="42"/>
      <c r="AM24" s="42"/>
      <c r="AN24" s="42"/>
      <c r="AO24" s="42"/>
      <c r="AP24" s="42"/>
      <c r="AQ24" s="42"/>
      <c r="AR24" s="8"/>
      <c r="AS24" s="8"/>
      <c r="AT24" s="8"/>
      <c r="AU24" s="8"/>
      <c r="AV24" s="8"/>
      <c r="AW24" s="8"/>
      <c r="BA24" s="35"/>
    </row>
    <row r="25" spans="1:53" ht="27.75" customHeight="1" thickBot="1" x14ac:dyDescent="0.4">
      <c r="A25" s="43"/>
      <c r="B25" s="44"/>
      <c r="C25" s="218"/>
      <c r="D25" s="219"/>
      <c r="E25" s="219"/>
      <c r="F25" s="220"/>
      <c r="G25" s="44"/>
      <c r="H25" s="47"/>
      <c r="I25" s="221"/>
      <c r="J25" s="221"/>
      <c r="K25" s="221"/>
      <c r="L25" s="221"/>
      <c r="M25" s="221"/>
      <c r="N25" s="221"/>
      <c r="O25" s="221"/>
      <c r="P25" s="221"/>
      <c r="Q25" s="47"/>
      <c r="R25" s="47"/>
      <c r="S25" s="47"/>
      <c r="T25" s="47"/>
      <c r="U25" s="47"/>
      <c r="V25" s="47"/>
      <c r="W25" s="46"/>
      <c r="X25" s="46"/>
      <c r="Y25" s="46"/>
      <c r="Z25" s="48"/>
      <c r="AA25" s="425"/>
      <c r="AB25" s="43"/>
      <c r="AC25" s="44"/>
      <c r="AD25" s="218"/>
      <c r="AE25" s="219"/>
      <c r="AF25" s="219"/>
      <c r="AG25" s="220"/>
      <c r="AH25" s="44"/>
      <c r="AI25" s="47"/>
      <c r="AJ25" s="221"/>
      <c r="AK25" s="221"/>
      <c r="AL25" s="221"/>
      <c r="AM25" s="221"/>
      <c r="AN25" s="221"/>
      <c r="AO25" s="221"/>
      <c r="AP25" s="221"/>
      <c r="AQ25" s="221"/>
      <c r="AR25" s="47"/>
      <c r="AS25" s="47"/>
      <c r="AT25" s="47"/>
      <c r="AU25" s="47"/>
      <c r="AV25" s="47"/>
      <c r="AW25" s="47"/>
      <c r="AX25" s="46"/>
      <c r="AY25" s="46"/>
      <c r="AZ25" s="46"/>
      <c r="BA25" s="48"/>
    </row>
    <row r="26" spans="1:53" s="9" customFormat="1" ht="24" customHeight="1" x14ac:dyDescent="0.35">
      <c r="A26" s="37"/>
      <c r="B26" s="211" t="s">
        <v>327</v>
      </c>
      <c r="C26" s="38"/>
      <c r="D26" s="211" t="str">
        <f>$D$11</f>
        <v/>
      </c>
      <c r="H26" s="39"/>
      <c r="I26" s="42"/>
      <c r="J26" s="42"/>
      <c r="K26" s="42"/>
      <c r="L26" s="42"/>
      <c r="M26" s="42"/>
      <c r="N26" s="42"/>
      <c r="O26" s="42"/>
      <c r="P26" s="42"/>
      <c r="Q26" s="8"/>
      <c r="R26" s="8"/>
      <c r="S26" s="8"/>
      <c r="T26" s="39"/>
      <c r="U26" s="39"/>
      <c r="V26" s="39"/>
      <c r="Z26" s="40"/>
      <c r="AA26" s="426"/>
      <c r="AB26" s="37"/>
      <c r="AC26" s="211" t="s">
        <v>327</v>
      </c>
      <c r="AD26" s="38"/>
      <c r="AE26" s="211" t="str">
        <f>$D$11</f>
        <v/>
      </c>
      <c r="AI26" s="39"/>
      <c r="AJ26" s="42"/>
      <c r="AK26" s="42"/>
      <c r="AL26" s="42"/>
      <c r="AM26" s="42"/>
      <c r="AN26" s="42"/>
      <c r="AO26" s="42"/>
      <c r="AP26" s="42"/>
      <c r="AQ26" s="42"/>
      <c r="AR26" s="8"/>
      <c r="AS26" s="8"/>
      <c r="AT26" s="8"/>
      <c r="AU26" s="39"/>
      <c r="AV26" s="39"/>
      <c r="AW26" s="39"/>
      <c r="BA26" s="40"/>
    </row>
    <row r="27" spans="1:53" s="9" customFormat="1" ht="12" customHeight="1" x14ac:dyDescent="0.35">
      <c r="A27" s="37"/>
      <c r="B27" s="212"/>
      <c r="C27" s="38"/>
      <c r="H27" s="49"/>
      <c r="I27" s="42"/>
      <c r="J27" s="42"/>
      <c r="K27" s="42"/>
      <c r="L27" s="42"/>
      <c r="M27" s="42"/>
      <c r="N27" s="42"/>
      <c r="O27" s="42"/>
      <c r="P27" s="42"/>
      <c r="Q27" s="42"/>
      <c r="R27" s="42"/>
      <c r="S27" s="8"/>
      <c r="T27" s="39"/>
      <c r="U27" s="39"/>
      <c r="V27" s="39"/>
      <c r="Z27" s="40"/>
      <c r="AA27" s="426"/>
      <c r="AB27" s="37"/>
      <c r="AC27" s="212"/>
      <c r="AD27" s="38"/>
      <c r="AI27" s="49"/>
      <c r="AJ27" s="42"/>
      <c r="AK27" s="42"/>
      <c r="AL27" s="42"/>
      <c r="AM27" s="42"/>
      <c r="AN27" s="42"/>
      <c r="AO27" s="42"/>
      <c r="AP27" s="42"/>
      <c r="AQ27" s="42"/>
      <c r="AR27" s="42"/>
      <c r="AS27" s="42"/>
      <c r="AT27" s="8"/>
      <c r="AU27" s="39"/>
      <c r="AV27" s="39"/>
      <c r="AW27" s="39"/>
      <c r="BA27" s="40"/>
    </row>
    <row r="28" spans="1:53" ht="31.5" thickBot="1" x14ac:dyDescent="0.4">
      <c r="A28" s="34"/>
      <c r="B28" s="167"/>
      <c r="C28" s="174" t="s">
        <v>314</v>
      </c>
      <c r="D28" s="174" t="s">
        <v>282</v>
      </c>
      <c r="E28" s="174" t="s">
        <v>283</v>
      </c>
      <c r="F28" s="174" t="s">
        <v>284</v>
      </c>
      <c r="G28" s="480" t="s">
        <v>285</v>
      </c>
      <c r="H28" s="341" t="s">
        <v>607</v>
      </c>
      <c r="I28" s="333" t="s">
        <v>212</v>
      </c>
      <c r="J28" s="333" t="s">
        <v>213</v>
      </c>
      <c r="K28" s="333" t="s">
        <v>121</v>
      </c>
      <c r="L28" s="333" t="s">
        <v>122</v>
      </c>
      <c r="M28" s="333" t="s">
        <v>123</v>
      </c>
      <c r="N28" s="333" t="s">
        <v>124</v>
      </c>
      <c r="O28" s="42"/>
      <c r="P28" s="42"/>
      <c r="Q28" s="42"/>
      <c r="R28" s="42"/>
      <c r="S28" s="8"/>
      <c r="T28" s="8"/>
      <c r="U28" s="8"/>
      <c r="V28" s="8"/>
      <c r="Z28" s="35"/>
      <c r="AA28" s="28"/>
      <c r="AB28" s="34"/>
      <c r="AC28" s="167"/>
      <c r="AD28" s="174" t="s">
        <v>314</v>
      </c>
      <c r="AE28" s="174" t="s">
        <v>282</v>
      </c>
      <c r="AF28" s="174" t="s">
        <v>283</v>
      </c>
      <c r="AG28" s="174" t="s">
        <v>284</v>
      </c>
      <c r="AH28" s="480" t="s">
        <v>285</v>
      </c>
      <c r="AI28" s="341" t="s">
        <v>607</v>
      </c>
      <c r="AJ28" s="333" t="s">
        <v>212</v>
      </c>
      <c r="AK28" s="333" t="s">
        <v>213</v>
      </c>
      <c r="AL28" s="333" t="s">
        <v>121</v>
      </c>
      <c r="AM28" s="333" t="s">
        <v>122</v>
      </c>
      <c r="AN28" s="333" t="s">
        <v>123</v>
      </c>
      <c r="AO28" s="333" t="s">
        <v>124</v>
      </c>
      <c r="AP28" s="42"/>
      <c r="AQ28" s="42"/>
      <c r="AR28" s="42"/>
      <c r="AS28" s="42"/>
      <c r="AT28" s="8"/>
      <c r="AU28" s="8"/>
      <c r="AV28" s="8"/>
      <c r="AW28" s="8"/>
      <c r="BA28" s="35"/>
    </row>
    <row r="29" spans="1:53" s="9" customFormat="1" ht="18.75" customHeight="1" x14ac:dyDescent="0.35">
      <c r="A29" s="37"/>
      <c r="B29" s="637" t="s">
        <v>315</v>
      </c>
      <c r="C29" s="462" t="s">
        <v>11</v>
      </c>
      <c r="D29" s="463">
        <f>IFERROR(Wärme[[#Totals],[Scope 1 CO2e '[kg CO2e']]]/1000,"")</f>
        <v>0</v>
      </c>
      <c r="E29" s="463">
        <f>IFERROR(Wärme[[#Totals],[Scope 2 CO2e '[kg CO2e']]]/1000,"")</f>
        <v>0</v>
      </c>
      <c r="F29" s="463">
        <f>IFERROR(Wärme[[#Totals],[Scope 3 CO2e '[kg CO2e']]]/1000,"")</f>
        <v>0</v>
      </c>
      <c r="G29" s="481">
        <f>SUM(D29:F29)</f>
        <v>0</v>
      </c>
      <c r="H29" s="496" t="e">
        <f>IF($D$5="nein",G29/G$37,G29/G$43)</f>
        <v>#DIV/0!</v>
      </c>
      <c r="I29" s="49"/>
      <c r="J29" s="49"/>
      <c r="K29" s="49" t="str">
        <f>VLOOKUP($C29,Sektor_Thema[],6,FALSE)</f>
        <v>Kat. 1</v>
      </c>
      <c r="L29" s="49" t="str">
        <f>VLOOKUP($C29,Sektor_Thema[],7,FALSE)</f>
        <v>Kat. 2</v>
      </c>
      <c r="M29" s="49" t="str">
        <f>VLOOKUP($C29,Sektor_Thema[],8,FALSE)</f>
        <v>Kat. 3</v>
      </c>
      <c r="N29" s="49" t="str">
        <f>VLOOKUP($C29,Sektor_Thema[],9,FALSE)</f>
        <v>-</v>
      </c>
      <c r="O29" s="49"/>
      <c r="P29" s="49"/>
      <c r="Q29" s="49"/>
      <c r="R29" s="49"/>
      <c r="S29" s="39"/>
      <c r="T29" s="39"/>
      <c r="U29" s="39"/>
      <c r="V29" s="39"/>
      <c r="Z29" s="40"/>
      <c r="AA29" s="426"/>
      <c r="AB29" s="37"/>
      <c r="AC29" s="637" t="s">
        <v>315</v>
      </c>
      <c r="AD29" s="462" t="s">
        <v>11</v>
      </c>
      <c r="AE29" s="463">
        <f>IFERROR(Wärme[[#Totals],[Scope 1 CO2e '[kg CO2e']]]/1000,"")</f>
        <v>0</v>
      </c>
      <c r="AF29" s="463">
        <f>IFERROR(Wärme[[#Totals],[Scope 2 CO2e '[kg CO2e']]]/1000,"")</f>
        <v>0</v>
      </c>
      <c r="AG29" s="463">
        <f>IFERROR(Wärme[[#Totals],[Scope 3 CO2e '[kg CO2e']]]/1000,"")</f>
        <v>0</v>
      </c>
      <c r="AH29" s="481">
        <f>SUM(AE29:AG29)</f>
        <v>0</v>
      </c>
      <c r="AI29" s="506" t="e">
        <f t="shared" ref="AI29:AI36" si="0">IF($AE$5="nein",AH29/AH$37,AH29/AH$43)</f>
        <v>#DIV/0!</v>
      </c>
      <c r="AJ29" s="49"/>
      <c r="AK29" s="49"/>
      <c r="AL29" s="49" t="str">
        <f>VLOOKUP($C29,Sektor_Thema[],6,FALSE)</f>
        <v>Kat. 1</v>
      </c>
      <c r="AM29" s="49" t="str">
        <f>VLOOKUP($C29,Sektor_Thema[],7,FALSE)</f>
        <v>Kat. 2</v>
      </c>
      <c r="AN29" s="49" t="str">
        <f>VLOOKUP($C29,Sektor_Thema[],8,FALSE)</f>
        <v>Kat. 3</v>
      </c>
      <c r="AO29" s="49" t="str">
        <f>VLOOKUP($C29,Sektor_Thema[],9,FALSE)</f>
        <v>-</v>
      </c>
      <c r="AP29" s="49"/>
      <c r="AQ29" s="49"/>
      <c r="AR29" s="49"/>
      <c r="AS29" s="49"/>
      <c r="AT29" s="39"/>
      <c r="AU29" s="39"/>
      <c r="AV29" s="39"/>
      <c r="AW29" s="39"/>
      <c r="BA29" s="40"/>
    </row>
    <row r="30" spans="1:53" s="9" customFormat="1" ht="18.75" customHeight="1" x14ac:dyDescent="0.35">
      <c r="A30" s="37"/>
      <c r="B30" s="637"/>
      <c r="C30" s="464" t="s">
        <v>15</v>
      </c>
      <c r="D30" s="465">
        <f>IFERROR(Strom[[#Totals],[Scope 1 CO2e '[kg CO2e']]]/1000,"")</f>
        <v>0</v>
      </c>
      <c r="E30" s="465">
        <f>IFERROR(Strom[[#Totals],[Scope 2 CO2e '[kg CO2e']]]/1000,"")</f>
        <v>0</v>
      </c>
      <c r="F30" s="465">
        <f>IFERROR(Strom[[#Totals],[Scope 3 CO2e '[kg CO2e']]]/1000,"")</f>
        <v>0</v>
      </c>
      <c r="G30" s="482">
        <f t="shared" ref="G30:G36" si="1">SUM(D30:F30)</f>
        <v>0</v>
      </c>
      <c r="H30" s="496" t="e">
        <f>IF($D$5="nein",G30/G$37,G30/G$43)</f>
        <v>#DIV/0!</v>
      </c>
      <c r="I30" s="49"/>
      <c r="J30" s="49"/>
      <c r="K30" s="49" t="str">
        <f>VLOOKUP($C30,Sektor_Thema[],6,FALSE)</f>
        <v>Kat. 1</v>
      </c>
      <c r="L30" s="49" t="str">
        <f>VLOOKUP($C30,Sektor_Thema[],7,FALSE)</f>
        <v>Kat. 1</v>
      </c>
      <c r="M30" s="49" t="str">
        <f>VLOOKUP($C30,Sektor_Thema[],8,FALSE)</f>
        <v>Kat. 3</v>
      </c>
      <c r="N30" s="49" t="str">
        <f>VLOOKUP($C30,Sektor_Thema[],9,FALSE)</f>
        <v>-</v>
      </c>
      <c r="O30" s="49"/>
      <c r="P30" s="49"/>
      <c r="Q30" s="49"/>
      <c r="R30" s="49"/>
      <c r="S30" s="39"/>
      <c r="T30" s="39"/>
      <c r="U30" s="39"/>
      <c r="V30" s="39"/>
      <c r="Z30" s="40"/>
      <c r="AA30" s="426"/>
      <c r="AB30" s="37"/>
      <c r="AC30" s="637"/>
      <c r="AD30" s="464" t="s">
        <v>15</v>
      </c>
      <c r="AE30" s="465">
        <f>IFERROR(Strom[[#Totals],[Scope 1 CO2e '[kg CO2e']]]/1000,"")</f>
        <v>0</v>
      </c>
      <c r="AF30" s="466">
        <f>IFERROR(Strom[[#Totals],[Scope 2 CO2e market-based '[kg CO2e']]]/1000,"")</f>
        <v>0</v>
      </c>
      <c r="AG30" s="465">
        <f>IFERROR(Strom[[#Totals],[Scope 3 CO2e '[kg CO2e']]]/1000,"")</f>
        <v>0</v>
      </c>
      <c r="AH30" s="482">
        <f t="shared" ref="AH30:AH36" si="2">SUM(AE30:AG30)</f>
        <v>0</v>
      </c>
      <c r="AI30" s="506" t="e">
        <f t="shared" si="0"/>
        <v>#DIV/0!</v>
      </c>
      <c r="AJ30" s="49"/>
      <c r="AK30" s="49"/>
      <c r="AL30" s="49" t="str">
        <f>VLOOKUP($C30,Sektor_Thema[],6,FALSE)</f>
        <v>Kat. 1</v>
      </c>
      <c r="AM30" s="49" t="str">
        <f>VLOOKUP($C30,Sektor_Thema[],7,FALSE)</f>
        <v>Kat. 1</v>
      </c>
      <c r="AN30" s="49" t="str">
        <f>VLOOKUP($C30,Sektor_Thema[],8,FALSE)</f>
        <v>Kat. 3</v>
      </c>
      <c r="AO30" s="49" t="str">
        <f>VLOOKUP($C30,Sektor_Thema[],9,FALSE)</f>
        <v>-</v>
      </c>
      <c r="AP30" s="49"/>
      <c r="AQ30" s="49"/>
      <c r="AR30" s="49"/>
      <c r="AS30" s="49"/>
      <c r="AT30" s="39"/>
      <c r="AU30" s="39"/>
      <c r="AV30" s="39"/>
      <c r="AW30" s="39"/>
      <c r="BA30" s="40"/>
    </row>
    <row r="31" spans="1:53" s="9" customFormat="1" ht="18.75" customHeight="1" x14ac:dyDescent="0.35">
      <c r="A31" s="37"/>
      <c r="B31" s="637"/>
      <c r="C31" s="464" t="s">
        <v>13</v>
      </c>
      <c r="D31" s="465">
        <f>IFERROR(Kühl_und_Kältemittel[[#Totals],[Scope 1 CO2e '[kg CO2e']]]/1000,"")</f>
        <v>0</v>
      </c>
      <c r="E31" s="465">
        <f>IFERROR(Kühl_und_Kältemittel[[#Totals],[Scope 2 CO2e '[kg CO2e']]]/1000,"")</f>
        <v>0</v>
      </c>
      <c r="F31" s="465">
        <f>IFERROR(Kühl_und_Kältemittel[[#Totals],[Scope 3 CO2e '[kg CO2e']]]/1000,"")</f>
        <v>0</v>
      </c>
      <c r="G31" s="482">
        <f t="shared" si="1"/>
        <v>0</v>
      </c>
      <c r="H31" s="496" t="e">
        <f t="shared" ref="H31:H36" si="3">IF($D$5="nein",G31/G$37,G31/G$43)</f>
        <v>#DIV/0!</v>
      </c>
      <c r="I31" s="49"/>
      <c r="J31" s="49"/>
      <c r="K31" s="49" t="str">
        <f>VLOOKUP($C31,Sektor_Thema[],6,FALSE)</f>
        <v>Kat. 4</v>
      </c>
      <c r="L31" s="49" t="str">
        <f>VLOOKUP($C31,Sektor_Thema[],7,FALSE)</f>
        <v>-</v>
      </c>
      <c r="M31" s="49" t="str">
        <f>VLOOKUP($C31,Sektor_Thema[],8,FALSE)</f>
        <v>-</v>
      </c>
      <c r="N31" s="49" t="str">
        <f>VLOOKUP($C31,Sektor_Thema[],9,FALSE)</f>
        <v>-</v>
      </c>
      <c r="O31" s="49"/>
      <c r="P31" s="49"/>
      <c r="Q31" s="49"/>
      <c r="R31" s="49"/>
      <c r="S31" s="39"/>
      <c r="T31" s="39"/>
      <c r="U31" s="39"/>
      <c r="V31" s="39"/>
      <c r="Z31" s="40"/>
      <c r="AA31" s="426"/>
      <c r="AB31" s="37"/>
      <c r="AC31" s="637"/>
      <c r="AD31" s="464" t="s">
        <v>13</v>
      </c>
      <c r="AE31" s="465">
        <f>IFERROR(Kühl_und_Kältemittel[[#Totals],[Scope 1 CO2e '[kg CO2e']]]/1000,"")</f>
        <v>0</v>
      </c>
      <c r="AF31" s="465">
        <f>IFERROR(Kühl_und_Kältemittel[[#Totals],[Scope 2 CO2e '[kg CO2e']]]/1000,"")</f>
        <v>0</v>
      </c>
      <c r="AG31" s="465">
        <f>IFERROR(Kühl_und_Kältemittel[[#Totals],[Scope 3 CO2e '[kg CO2e']]]/1000,"")</f>
        <v>0</v>
      </c>
      <c r="AH31" s="482">
        <f t="shared" si="2"/>
        <v>0</v>
      </c>
      <c r="AI31" s="506" t="e">
        <f t="shared" si="0"/>
        <v>#DIV/0!</v>
      </c>
      <c r="AJ31" s="49"/>
      <c r="AK31" s="49"/>
      <c r="AL31" s="49" t="str">
        <f>VLOOKUP($C31,Sektor_Thema[],6,FALSE)</f>
        <v>Kat. 4</v>
      </c>
      <c r="AM31" s="49" t="str">
        <f>VLOOKUP($C31,Sektor_Thema[],7,FALSE)</f>
        <v>-</v>
      </c>
      <c r="AN31" s="49" t="str">
        <f>VLOOKUP($C31,Sektor_Thema[],8,FALSE)</f>
        <v>-</v>
      </c>
      <c r="AO31" s="49" t="str">
        <f>VLOOKUP($C31,Sektor_Thema[],9,FALSE)</f>
        <v>-</v>
      </c>
      <c r="AP31" s="49"/>
      <c r="AQ31" s="49"/>
      <c r="AR31" s="49"/>
      <c r="AS31" s="49"/>
      <c r="AT31" s="39"/>
      <c r="AU31" s="39"/>
      <c r="AV31" s="39"/>
      <c r="AW31" s="39"/>
      <c r="BA31" s="40"/>
    </row>
    <row r="32" spans="1:53" s="9" customFormat="1" ht="18.75" customHeight="1" x14ac:dyDescent="0.35">
      <c r="A32" s="37"/>
      <c r="B32" s="637"/>
      <c r="C32" s="464" t="s">
        <v>12</v>
      </c>
      <c r="D32" s="465">
        <f>IFERROR(Fuhrpark[[#Totals],[Scope 1 CO2e '[kg CO2e']]]/1000,"")</f>
        <v>0</v>
      </c>
      <c r="E32" s="465">
        <f>IFERROR(Fuhrpark[[#Totals],[Scope 2 CO2e '[kg CO2e']]]/1000,"")</f>
        <v>0</v>
      </c>
      <c r="F32" s="465">
        <f>IFERROR(Fuhrpark[[#Totals],[Scope 3 CO2e '[kg CO2e']]]/1000,"")</f>
        <v>0</v>
      </c>
      <c r="G32" s="482">
        <f t="shared" si="1"/>
        <v>0</v>
      </c>
      <c r="H32" s="496" t="e">
        <f t="shared" si="3"/>
        <v>#DIV/0!</v>
      </c>
      <c r="I32" s="49"/>
      <c r="J32" s="49"/>
      <c r="K32" s="49" t="str">
        <f>VLOOKUP($C32,Sektor_Thema[],6,FALSE)</f>
        <v>Kat. 2</v>
      </c>
      <c r="L32" s="49" t="str">
        <f>VLOOKUP($C32,Sektor_Thema[],7,FALSE)</f>
        <v>Kat. 1</v>
      </c>
      <c r="M32" s="49" t="str">
        <f>VLOOKUP($C32,Sektor_Thema[],8,FALSE)</f>
        <v>Kat. 3</v>
      </c>
      <c r="N32" s="49" t="str">
        <f>VLOOKUP($C32,Sektor_Thema[],9,FALSE)</f>
        <v>-</v>
      </c>
      <c r="O32" s="49"/>
      <c r="P32" s="49"/>
      <c r="Q32" s="49"/>
      <c r="R32" s="49"/>
      <c r="S32" s="39"/>
      <c r="T32" s="39"/>
      <c r="U32" s="39"/>
      <c r="V32" s="39"/>
      <c r="Z32" s="40"/>
      <c r="AA32" s="426"/>
      <c r="AB32" s="37"/>
      <c r="AC32" s="637"/>
      <c r="AD32" s="464" t="s">
        <v>12</v>
      </c>
      <c r="AE32" s="465">
        <f>IFERROR(Fuhrpark[[#Totals],[Scope 1 CO2e '[kg CO2e']]]/1000,"")</f>
        <v>0</v>
      </c>
      <c r="AF32" s="466">
        <f>IFERROR(Fuhrpark[[#Totals],[Scope 2 CO2e market-based '[kg CO2e']]]/1000,"")</f>
        <v>0</v>
      </c>
      <c r="AG32" s="465">
        <f>IFERROR(Fuhrpark[[#Totals],[Scope 3 CO2e '[kg CO2e']]]/1000,"")</f>
        <v>0</v>
      </c>
      <c r="AH32" s="482">
        <f t="shared" si="2"/>
        <v>0</v>
      </c>
      <c r="AI32" s="506" t="e">
        <f t="shared" si="0"/>
        <v>#DIV/0!</v>
      </c>
      <c r="AJ32" s="49"/>
      <c r="AK32" s="49"/>
      <c r="AL32" s="49" t="str">
        <f>VLOOKUP($C32,Sektor_Thema[],6,FALSE)</f>
        <v>Kat. 2</v>
      </c>
      <c r="AM32" s="49" t="str">
        <f>VLOOKUP($C32,Sektor_Thema[],7,FALSE)</f>
        <v>Kat. 1</v>
      </c>
      <c r="AN32" s="49" t="str">
        <f>VLOOKUP($C32,Sektor_Thema[],8,FALSE)</f>
        <v>Kat. 3</v>
      </c>
      <c r="AO32" s="49" t="str">
        <f>VLOOKUP($C32,Sektor_Thema[],9,FALSE)</f>
        <v>-</v>
      </c>
      <c r="AP32" s="49"/>
      <c r="AQ32" s="49"/>
      <c r="AR32" s="49"/>
      <c r="AS32" s="49"/>
      <c r="AT32" s="39"/>
      <c r="AU32" s="39"/>
      <c r="AV32" s="39"/>
      <c r="AW32" s="39"/>
      <c r="BA32" s="40"/>
    </row>
    <row r="33" spans="1:53" s="9" customFormat="1" ht="18.75" customHeight="1" x14ac:dyDescent="0.35">
      <c r="A33" s="37"/>
      <c r="B33" s="637"/>
      <c r="C33" s="464" t="s">
        <v>18</v>
      </c>
      <c r="D33" s="465">
        <f>IFERROR(Geschäftsreisen[[#Totals],[Scope 1 CO2e '[kg CO2e']]]/1000,"")</f>
        <v>0</v>
      </c>
      <c r="E33" s="465">
        <f>IFERROR(Geschäftsreisen[[#Totals],[Scope 2 CO2e '[kg CO2e']]]/1000,"")</f>
        <v>0</v>
      </c>
      <c r="F33" s="465">
        <f>IFERROR(Geschäftsreisen[[#Totals],[Scope 3 CO2e '[kg CO2e']]]/1000,"")</f>
        <v>0</v>
      </c>
      <c r="G33" s="482">
        <f t="shared" si="1"/>
        <v>0</v>
      </c>
      <c r="H33" s="496" t="e">
        <f t="shared" si="3"/>
        <v>#DIV/0!</v>
      </c>
      <c r="I33" s="49"/>
      <c r="J33" s="49"/>
      <c r="K33" s="49" t="str">
        <f>VLOOKUP($C33,Sektor_Thema[],6,FALSE)</f>
        <v>-</v>
      </c>
      <c r="L33" s="49" t="str">
        <f>VLOOKUP($C33,Sektor_Thema[],7,FALSE)</f>
        <v>-</v>
      </c>
      <c r="M33" s="49" t="str">
        <f>VLOOKUP($C33,Sektor_Thema[],8,FALSE)</f>
        <v>Kat. 6</v>
      </c>
      <c r="N33" s="49" t="str">
        <f>VLOOKUP($C33,Sektor_Thema[],9,FALSE)</f>
        <v>-</v>
      </c>
      <c r="O33" s="49"/>
      <c r="P33" s="49"/>
      <c r="Q33" s="49"/>
      <c r="R33" s="49"/>
      <c r="S33" s="39"/>
      <c r="T33" s="39"/>
      <c r="U33" s="39"/>
      <c r="V33" s="39"/>
      <c r="Z33" s="40"/>
      <c r="AA33" s="426"/>
      <c r="AB33" s="37"/>
      <c r="AC33" s="637"/>
      <c r="AD33" s="464" t="s">
        <v>18</v>
      </c>
      <c r="AE33" s="465">
        <f>IFERROR(Geschäftsreisen[[#Totals],[Scope 1 CO2e '[kg CO2e']]]/1000,"")</f>
        <v>0</v>
      </c>
      <c r="AF33" s="465">
        <f>IFERROR(Geschäftsreisen[[#Totals],[Scope 2 CO2e '[kg CO2e']]]/1000,"")</f>
        <v>0</v>
      </c>
      <c r="AG33" s="465">
        <f>IFERROR(Geschäftsreisen[[#Totals],[Scope 3 CO2e '[kg CO2e']]]/1000,"")</f>
        <v>0</v>
      </c>
      <c r="AH33" s="482">
        <f t="shared" si="2"/>
        <v>0</v>
      </c>
      <c r="AI33" s="506" t="e">
        <f t="shared" si="0"/>
        <v>#DIV/0!</v>
      </c>
      <c r="AJ33" s="49"/>
      <c r="AK33" s="49"/>
      <c r="AL33" s="49" t="str">
        <f>VLOOKUP($C33,Sektor_Thema[],6,FALSE)</f>
        <v>-</v>
      </c>
      <c r="AM33" s="49" t="str">
        <f>VLOOKUP($C33,Sektor_Thema[],7,FALSE)</f>
        <v>-</v>
      </c>
      <c r="AN33" s="49" t="str">
        <f>VLOOKUP($C33,Sektor_Thema[],8,FALSE)</f>
        <v>Kat. 6</v>
      </c>
      <c r="AO33" s="49" t="str">
        <f>VLOOKUP($C33,Sektor_Thema[],9,FALSE)</f>
        <v>-</v>
      </c>
      <c r="AP33" s="49"/>
      <c r="AQ33" s="49"/>
      <c r="AR33" s="49"/>
      <c r="AS33" s="49"/>
      <c r="AT33" s="39"/>
      <c r="AU33" s="39"/>
      <c r="AV33" s="39"/>
      <c r="AW33" s="39"/>
      <c r="BA33" s="40"/>
    </row>
    <row r="34" spans="1:53" s="9" customFormat="1" ht="18.75" customHeight="1" x14ac:dyDescent="0.35">
      <c r="A34" s="37"/>
      <c r="B34" s="637"/>
      <c r="C34" s="464" t="s">
        <v>68</v>
      </c>
      <c r="D34" s="465">
        <f>IFERROR(Pendeln_Mitarbeitende[[#Totals],[Scope 1 CO2e '[kg CO2e']]]/1000,"")</f>
        <v>0</v>
      </c>
      <c r="E34" s="465">
        <f>IFERROR(Pendeln_Mitarbeitende[[#Totals],[Scope 2 CO2e '[kg CO2e']]]/1000,"")</f>
        <v>0</v>
      </c>
      <c r="F34" s="465">
        <f>IFERROR(Pendeln_Mitarbeitende[[#Totals],[Scope 3 CO2e '[kg CO2e']]]/1000,"")</f>
        <v>0</v>
      </c>
      <c r="G34" s="482">
        <f t="shared" si="1"/>
        <v>0</v>
      </c>
      <c r="H34" s="496" t="e">
        <f t="shared" si="3"/>
        <v>#DIV/0!</v>
      </c>
      <c r="I34" s="49"/>
      <c r="J34" s="49"/>
      <c r="K34" s="49" t="str">
        <f>VLOOKUP($C34,Sektor_Thema[],6,FALSE)</f>
        <v>-</v>
      </c>
      <c r="L34" s="49" t="str">
        <f>VLOOKUP($C34,Sektor_Thema[],7,FALSE)</f>
        <v>-</v>
      </c>
      <c r="M34" s="49" t="str">
        <f>VLOOKUP($C34,Sektor_Thema[],8,FALSE)</f>
        <v>Kat. 7</v>
      </c>
      <c r="N34" s="49" t="str">
        <f>VLOOKUP($C34,Sektor_Thema[],9,FALSE)</f>
        <v>-</v>
      </c>
      <c r="O34" s="49"/>
      <c r="P34" s="49"/>
      <c r="Q34" s="49"/>
      <c r="R34" s="49"/>
      <c r="S34" s="39"/>
      <c r="T34" s="39"/>
      <c r="U34" s="39"/>
      <c r="V34" s="39"/>
      <c r="Z34" s="40"/>
      <c r="AA34" s="426"/>
      <c r="AB34" s="37"/>
      <c r="AC34" s="637"/>
      <c r="AD34" s="464" t="s">
        <v>68</v>
      </c>
      <c r="AE34" s="465">
        <f>IFERROR(Pendeln_Mitarbeitende[[#Totals],[Scope 1 CO2e '[kg CO2e']]]/1000,"")</f>
        <v>0</v>
      </c>
      <c r="AF34" s="465">
        <f>IFERROR(Pendeln_Mitarbeitende[[#Totals],[Scope 2 CO2e '[kg CO2e']]]/1000,"")</f>
        <v>0</v>
      </c>
      <c r="AG34" s="465">
        <f>IFERROR(Pendeln_Mitarbeitende[[#Totals],[Scope 3 CO2e '[kg CO2e']]]/1000,"")</f>
        <v>0</v>
      </c>
      <c r="AH34" s="482">
        <f t="shared" si="2"/>
        <v>0</v>
      </c>
      <c r="AI34" s="506" t="e">
        <f t="shared" si="0"/>
        <v>#DIV/0!</v>
      </c>
      <c r="AJ34" s="49"/>
      <c r="AK34" s="49"/>
      <c r="AL34" s="49" t="str">
        <f>VLOOKUP($C34,Sektor_Thema[],6,FALSE)</f>
        <v>-</v>
      </c>
      <c r="AM34" s="49" t="str">
        <f>VLOOKUP($C34,Sektor_Thema[],7,FALSE)</f>
        <v>-</v>
      </c>
      <c r="AN34" s="49" t="str">
        <f>VLOOKUP($C34,Sektor_Thema[],8,FALSE)</f>
        <v>Kat. 7</v>
      </c>
      <c r="AO34" s="49" t="str">
        <f>VLOOKUP($C34,Sektor_Thema[],9,FALSE)</f>
        <v>-</v>
      </c>
      <c r="AP34" s="49"/>
      <c r="AQ34" s="49"/>
      <c r="AR34" s="49"/>
      <c r="AS34" s="49"/>
      <c r="AT34" s="39"/>
      <c r="AU34" s="39"/>
      <c r="AV34" s="39"/>
      <c r="AW34" s="39"/>
      <c r="BA34" s="40"/>
    </row>
    <row r="35" spans="1:53" s="9" customFormat="1" ht="18.75" customHeight="1" x14ac:dyDescent="0.35">
      <c r="A35" s="37"/>
      <c r="B35" s="637"/>
      <c r="C35" s="464" t="s">
        <v>129</v>
      </c>
      <c r="D35" s="465">
        <f>IFERROR(Externe[[#Totals],[Scope 1 CO2e '[kg CO2e']]]/1000,"")</f>
        <v>0</v>
      </c>
      <c r="E35" s="465">
        <f>IFERROR(Externe[[#Totals],[Scope 2 CO2e '[kg CO2e']]]/1000,"")</f>
        <v>0</v>
      </c>
      <c r="F35" s="465">
        <f>IFERROR(Externe[[#Totals],[Scope 3 CO2e '[kg CO2e']]]/1000,"")</f>
        <v>0</v>
      </c>
      <c r="G35" s="482">
        <f t="shared" si="1"/>
        <v>0</v>
      </c>
      <c r="H35" s="496" t="e">
        <f t="shared" si="3"/>
        <v>#DIV/0!</v>
      </c>
      <c r="I35" s="49"/>
      <c r="J35" s="49"/>
      <c r="K35" s="49" t="str">
        <f>VLOOKUP($C35,Sektor_Thema[],6,FALSE)</f>
        <v>-</v>
      </c>
      <c r="L35" s="49" t="str">
        <f>VLOOKUP($C35,Sektor_Thema[],7,FALSE)</f>
        <v>-</v>
      </c>
      <c r="M35" s="49" t="str">
        <f>VLOOKUP($C35,Sektor_Thema[],8,FALSE)</f>
        <v>Kat. 1</v>
      </c>
      <c r="N35" s="49" t="str">
        <f>VLOOKUP($C35,Sektor_Thema[],9,FALSE)</f>
        <v>-</v>
      </c>
      <c r="O35" s="49"/>
      <c r="P35" s="49"/>
      <c r="Q35" s="49"/>
      <c r="R35" s="49"/>
      <c r="S35" s="39"/>
      <c r="T35" s="39"/>
      <c r="U35" s="39"/>
      <c r="V35" s="39"/>
      <c r="Z35" s="40"/>
      <c r="AA35" s="426"/>
      <c r="AB35" s="37"/>
      <c r="AC35" s="637"/>
      <c r="AD35" s="464" t="s">
        <v>129</v>
      </c>
      <c r="AE35" s="465">
        <f>IFERROR(Externe[[#Totals],[Scope 1 CO2e '[kg CO2e']]]/1000,"")</f>
        <v>0</v>
      </c>
      <c r="AF35" s="465">
        <f>IFERROR(Externe[[#Totals],[Scope 2 CO2e '[kg CO2e']]]/1000,"")</f>
        <v>0</v>
      </c>
      <c r="AG35" s="465">
        <f>IFERROR(Externe[[#Totals],[Scope 3 CO2e '[kg CO2e']]]/1000,"")</f>
        <v>0</v>
      </c>
      <c r="AH35" s="482">
        <f>SUM(AE35:AG35)</f>
        <v>0</v>
      </c>
      <c r="AI35" s="506" t="e">
        <f t="shared" si="0"/>
        <v>#DIV/0!</v>
      </c>
      <c r="AJ35" s="49"/>
      <c r="AK35" s="49"/>
      <c r="AL35" s="49" t="str">
        <f>VLOOKUP($C35,Sektor_Thema[],6,FALSE)</f>
        <v>-</v>
      </c>
      <c r="AM35" s="49" t="str">
        <f>VLOOKUP($C35,Sektor_Thema[],7,FALSE)</f>
        <v>-</v>
      </c>
      <c r="AN35" s="49" t="str">
        <f>VLOOKUP($C35,Sektor_Thema[],8,FALSE)</f>
        <v>Kat. 1</v>
      </c>
      <c r="AO35" s="49" t="str">
        <f>VLOOKUP($C35,Sektor_Thema[],9,FALSE)</f>
        <v>-</v>
      </c>
      <c r="AP35" s="49"/>
      <c r="AQ35" s="49"/>
      <c r="AR35" s="49"/>
      <c r="AS35" s="49"/>
      <c r="AT35" s="39"/>
      <c r="AU35" s="39"/>
      <c r="AV35" s="39"/>
      <c r="AW35" s="39"/>
      <c r="BA35" s="40"/>
    </row>
    <row r="36" spans="1:53" s="9" customFormat="1" ht="18.75" customHeight="1" x14ac:dyDescent="0.35">
      <c r="A36" s="37"/>
      <c r="B36" s="637"/>
      <c r="C36" s="464" t="s">
        <v>71</v>
      </c>
      <c r="D36" s="465">
        <f>IFERROR(Warentransporte[[#Totals],[Scope 1 CO2e '[kg CO2e']]]/1000,"")</f>
        <v>0</v>
      </c>
      <c r="E36" s="465">
        <f>IFERROR(Warentransporte[[#Totals],[Scope 2 CO2e '[kg CO2e']]]/1000,"")</f>
        <v>0</v>
      </c>
      <c r="F36" s="465">
        <f>IFERROR(Warentransporte[[#Totals],[Scope 3 CO2e '[kg CO2e']]]/1000,"")</f>
        <v>0</v>
      </c>
      <c r="G36" s="482">
        <f t="shared" si="1"/>
        <v>0</v>
      </c>
      <c r="H36" s="496" t="e">
        <f t="shared" si="3"/>
        <v>#DIV/0!</v>
      </c>
      <c r="I36" s="49"/>
      <c r="J36" s="49"/>
      <c r="K36" s="49" t="str">
        <f>VLOOKUP($C36,Sektor_Thema[],6,FALSE)</f>
        <v>-</v>
      </c>
      <c r="L36" s="49" t="str">
        <f>VLOOKUP($C36,Sektor_Thema[],7,FALSE)</f>
        <v>-</v>
      </c>
      <c r="M36" s="49" t="str">
        <f>VLOOKUP($C36,Sektor_Thema[],8,FALSE)</f>
        <v>Kat. 4</v>
      </c>
      <c r="N36" s="49" t="str">
        <f>VLOOKUP($C36,Sektor_Thema[],9,FALSE)</f>
        <v>-</v>
      </c>
      <c r="O36" s="49"/>
      <c r="P36" s="49"/>
      <c r="Q36" s="49"/>
      <c r="R36" s="49"/>
      <c r="S36" s="39"/>
      <c r="T36" s="39"/>
      <c r="U36" s="39"/>
      <c r="V36" s="39"/>
      <c r="Z36" s="40"/>
      <c r="AA36" s="426"/>
      <c r="AB36" s="37"/>
      <c r="AC36" s="637"/>
      <c r="AD36" s="464" t="s">
        <v>71</v>
      </c>
      <c r="AE36" s="465">
        <f>IFERROR(Warentransporte[[#Totals],[Scope 1 CO2e '[kg CO2e']]]/1000,"")</f>
        <v>0</v>
      </c>
      <c r="AF36" s="465">
        <f>IFERROR(Warentransporte[[#Totals],[Scope 2 CO2e '[kg CO2e']]]/1000,"")</f>
        <v>0</v>
      </c>
      <c r="AG36" s="465">
        <f>IFERROR(Warentransporte[[#Totals],[Scope 3 CO2e '[kg CO2e']]]/1000,"")</f>
        <v>0</v>
      </c>
      <c r="AH36" s="482">
        <f t="shared" si="2"/>
        <v>0</v>
      </c>
      <c r="AI36" s="506" t="e">
        <f t="shared" si="0"/>
        <v>#DIV/0!</v>
      </c>
      <c r="AJ36" s="49"/>
      <c r="AK36" s="49"/>
      <c r="AL36" s="49" t="str">
        <f>VLOOKUP($C36,Sektor_Thema[],6,FALSE)</f>
        <v>-</v>
      </c>
      <c r="AM36" s="49" t="str">
        <f>VLOOKUP($C36,Sektor_Thema[],7,FALSE)</f>
        <v>-</v>
      </c>
      <c r="AN36" s="49" t="str">
        <f>VLOOKUP($C36,Sektor_Thema[],8,FALSE)</f>
        <v>Kat. 4</v>
      </c>
      <c r="AO36" s="49" t="str">
        <f>VLOOKUP($C36,Sektor_Thema[],9,FALSE)</f>
        <v>-</v>
      </c>
      <c r="AP36" s="49"/>
      <c r="AQ36" s="49"/>
      <c r="AR36" s="49"/>
      <c r="AS36" s="49"/>
      <c r="AT36" s="39"/>
      <c r="AU36" s="39"/>
      <c r="AV36" s="39"/>
      <c r="AW36" s="39"/>
      <c r="BA36" s="40"/>
    </row>
    <row r="37" spans="1:53" s="9" customFormat="1" ht="18.75" customHeight="1" x14ac:dyDescent="0.35">
      <c r="A37" s="37"/>
      <c r="B37" s="637"/>
      <c r="C37" s="467" t="s">
        <v>323</v>
      </c>
      <c r="D37" s="468">
        <f>SUM(D29:D36)</f>
        <v>0</v>
      </c>
      <c r="E37" s="468">
        <f>SUM(E29:E36)</f>
        <v>0</v>
      </c>
      <c r="F37" s="468">
        <f>SUM(F29:F36)</f>
        <v>0</v>
      </c>
      <c r="G37" s="483">
        <f>SUM(D37:F37)</f>
        <v>0</v>
      </c>
      <c r="H37" s="497" t="e">
        <f>SUM(H29:H36)</f>
        <v>#DIV/0!</v>
      </c>
      <c r="I37" s="49"/>
      <c r="J37" s="49"/>
      <c r="K37" s="49"/>
      <c r="L37" s="49"/>
      <c r="M37" s="49"/>
      <c r="N37" s="49"/>
      <c r="O37" s="49"/>
      <c r="P37" s="49"/>
      <c r="Q37" s="49"/>
      <c r="R37" s="49"/>
      <c r="S37" s="39"/>
      <c r="T37" s="39"/>
      <c r="U37" s="39"/>
      <c r="V37" s="39"/>
      <c r="Z37" s="40"/>
      <c r="AA37" s="426"/>
      <c r="AB37" s="37"/>
      <c r="AC37" s="637"/>
      <c r="AD37" s="467" t="s">
        <v>323</v>
      </c>
      <c r="AE37" s="468">
        <f>SUM(AE29:AE36)</f>
        <v>0</v>
      </c>
      <c r="AF37" s="468">
        <f>SUM(AF29:AF36)</f>
        <v>0</v>
      </c>
      <c r="AG37" s="468">
        <f>SUM(AG29:AG36)</f>
        <v>0</v>
      </c>
      <c r="AH37" s="483">
        <f>SUM(AE37:AG37)</f>
        <v>0</v>
      </c>
      <c r="AI37" s="521" t="e">
        <f>SUM(AI29:AI36)</f>
        <v>#DIV/0!</v>
      </c>
      <c r="AJ37" s="522"/>
      <c r="AK37" s="49"/>
      <c r="AL37" s="49"/>
      <c r="AM37" s="49"/>
      <c r="AN37" s="49"/>
      <c r="AO37" s="49"/>
      <c r="AP37" s="49"/>
      <c r="AQ37" s="49"/>
      <c r="AR37" s="49"/>
      <c r="AS37" s="49"/>
      <c r="AT37" s="39"/>
      <c r="AU37" s="39"/>
      <c r="AV37" s="39"/>
      <c r="AW37" s="39"/>
      <c r="BA37" s="40"/>
    </row>
    <row r="38" spans="1:53" s="9" customFormat="1" ht="18.75" customHeight="1" x14ac:dyDescent="0.35">
      <c r="A38" s="37"/>
      <c r="B38" s="631" t="s">
        <v>316</v>
      </c>
      <c r="C38" s="168" t="s">
        <v>69</v>
      </c>
      <c r="D38" s="295">
        <f>IF($D$5="ja",IFERROR(Anreise_Besuchende[[#Totals],[Scope 1 CO2e '[kg CO2e']]]/1000,""),"")</f>
        <v>0</v>
      </c>
      <c r="E38" s="295">
        <f>IF($D$5="ja",IFERROR(Anreise_Besuchende[[#Totals],[Scope 2 CO2e '[kg CO2e']]]/1000,""),"")</f>
        <v>0</v>
      </c>
      <c r="F38" s="295">
        <f>IF($D$5="ja",IFERROR(Anreise_Besuchende[[#Totals],[Scope 3 CO2e '[kg CO2e']]]/1000,""),"")</f>
        <v>0</v>
      </c>
      <c r="G38" s="484">
        <f t="shared" ref="G38:G43" si="4">IF($D$5="ja",SUM(D38:F38),"")</f>
        <v>0</v>
      </c>
      <c r="H38" s="498" t="e">
        <f>IF($D$5="ja",G38/G$43,"")</f>
        <v>#DIV/0!</v>
      </c>
      <c r="I38" s="49"/>
      <c r="J38" s="49"/>
      <c r="K38" s="49" t="str">
        <f>VLOOKUP($C38,Sektor_Thema[],6,FALSE)</f>
        <v>-</v>
      </c>
      <c r="L38" s="49" t="str">
        <f>VLOOKUP($C38,Sektor_Thema[],7,FALSE)</f>
        <v>-</v>
      </c>
      <c r="M38" s="49" t="str">
        <f>VLOOKUP($C38,Sektor_Thema[],8,FALSE)</f>
        <v>Kat. 9</v>
      </c>
      <c r="N38" s="49" t="str">
        <f>VLOOKUP($C38,Sektor_Thema[],9,FALSE)</f>
        <v>-</v>
      </c>
      <c r="O38" s="49"/>
      <c r="P38" s="49"/>
      <c r="Q38" s="49"/>
      <c r="R38" s="49"/>
      <c r="S38" s="39"/>
      <c r="T38" s="39"/>
      <c r="U38" s="39"/>
      <c r="V38" s="39"/>
      <c r="Z38" s="40"/>
      <c r="AA38" s="426"/>
      <c r="AB38" s="37"/>
      <c r="AC38" s="631" t="s">
        <v>316</v>
      </c>
      <c r="AD38" s="168" t="s">
        <v>69</v>
      </c>
      <c r="AE38" s="295">
        <f>IF($AE$5="ja",IFERROR(Anreise_Besuchende[[#Totals],[Scope 1 CO2e '[kg CO2e']]]/1000,""),"")</f>
        <v>0</v>
      </c>
      <c r="AF38" s="295">
        <f>IF($AE$5="ja",IFERROR(Anreise_Besuchende[[#Totals],[Scope 2 CO2e '[kg CO2e']]]/1000,""),"")</f>
        <v>0</v>
      </c>
      <c r="AG38" s="295">
        <f>IF($AE$5="ja",IFERROR(Anreise_Besuchende[[#Totals],[Scope 3 CO2e '[kg CO2e']]]/1000,""),"")</f>
        <v>0</v>
      </c>
      <c r="AH38" s="484">
        <f t="shared" ref="AH38:AH43" si="5">IF($AE$5="ja",SUM(AE38:AG38),"")</f>
        <v>0</v>
      </c>
      <c r="AI38" s="507" t="e">
        <f>IF($AE$5="ja",AH38/AH$43,"")</f>
        <v>#DIV/0!</v>
      </c>
      <c r="AJ38" s="49"/>
      <c r="AK38" s="49"/>
      <c r="AL38" s="49" t="str">
        <f>VLOOKUP($C38,Sektor_Thema[],6,FALSE)</f>
        <v>-</v>
      </c>
      <c r="AM38" s="49" t="str">
        <f>VLOOKUP($C38,Sektor_Thema[],7,FALSE)</f>
        <v>-</v>
      </c>
      <c r="AN38" s="49" t="str">
        <f>VLOOKUP($C38,Sektor_Thema[],8,FALSE)</f>
        <v>Kat. 9</v>
      </c>
      <c r="AO38" s="49" t="str">
        <f>VLOOKUP($C38,Sektor_Thema[],9,FALSE)</f>
        <v>-</v>
      </c>
      <c r="AP38" s="49"/>
      <c r="AQ38" s="49"/>
      <c r="AR38" s="49"/>
      <c r="AS38" s="49"/>
      <c r="AT38" s="39"/>
      <c r="AU38" s="39"/>
      <c r="AV38" s="39"/>
      <c r="AW38" s="39"/>
      <c r="BA38" s="40"/>
    </row>
    <row r="39" spans="1:53" s="9" customFormat="1" ht="18.75" customHeight="1" x14ac:dyDescent="0.35">
      <c r="A39" s="37"/>
      <c r="B39" s="632"/>
      <c r="C39" s="168" t="s">
        <v>291</v>
      </c>
      <c r="D39" s="295">
        <f>IF($D$5="ja",IFERROR(Medien[[#Totals],[Scope 1 CO2e '[kg CO2e']]]/1000,""),"")</f>
        <v>0</v>
      </c>
      <c r="E39" s="295">
        <f>IF($D$5="ja",IFERROR(Medien[[#Totals],[Scope 2 CO2e '[kg CO2e']]]/1000,""),"")</f>
        <v>0</v>
      </c>
      <c r="F39" s="295">
        <f>IF($D$5="ja",IFERROR(Medien[[#Totals],[Scope 3 CO2e '[kg CO2e']]]/1000,""),"")</f>
        <v>0</v>
      </c>
      <c r="G39" s="484">
        <f t="shared" si="4"/>
        <v>0</v>
      </c>
      <c r="H39" s="498" t="e">
        <f t="shared" ref="H39:H41" si="6">IF($D$5="ja",G39/G$43,"")</f>
        <v>#DIV/0!</v>
      </c>
      <c r="I39" s="49"/>
      <c r="J39" s="49"/>
      <c r="K39" s="49" t="str">
        <f>VLOOKUP($C39,Sektor_Thema[],6,FALSE)</f>
        <v>-</v>
      </c>
      <c r="L39" s="49" t="str">
        <f>VLOOKUP($C39,Sektor_Thema[],7,FALSE)</f>
        <v>-</v>
      </c>
      <c r="M39" s="49" t="str">
        <f>VLOOKUP($C39,Sektor_Thema[],8,FALSE)</f>
        <v>Kat. 1</v>
      </c>
      <c r="N39" s="49" t="str">
        <f>VLOOKUP($C39,Sektor_Thema[],9,FALSE)</f>
        <v>-</v>
      </c>
      <c r="O39" s="49"/>
      <c r="P39" s="49"/>
      <c r="Q39" s="49"/>
      <c r="R39" s="49"/>
      <c r="S39" s="39"/>
      <c r="T39" s="39"/>
      <c r="U39" s="39"/>
      <c r="V39" s="39"/>
      <c r="Z39" s="40"/>
      <c r="AA39" s="426"/>
      <c r="AB39" s="37"/>
      <c r="AC39" s="632"/>
      <c r="AD39" s="168" t="s">
        <v>291</v>
      </c>
      <c r="AE39" s="295">
        <f>IF($AE$5="ja",IFERROR(Medien[[#Totals],[Scope 1 CO2e '[kg CO2e']]]/1000,""),"")</f>
        <v>0</v>
      </c>
      <c r="AF39" s="295">
        <f>IF($AE$5="ja",IFERROR(Medien[[#Totals],[Scope 2 CO2e '[kg CO2e']]]/1000,""),"")</f>
        <v>0</v>
      </c>
      <c r="AG39" s="295">
        <f>IF($AE$5="ja",IFERROR(Medien[[#Totals],[Scope 3 CO2e '[kg CO2e']]]/1000,""),"")</f>
        <v>0</v>
      </c>
      <c r="AH39" s="484">
        <f t="shared" si="5"/>
        <v>0</v>
      </c>
      <c r="AI39" s="507" t="e">
        <f>IF($AE$5="ja",AH39/AH$43,"")</f>
        <v>#DIV/0!</v>
      </c>
      <c r="AJ39" s="49"/>
      <c r="AK39" s="49"/>
      <c r="AL39" s="49" t="str">
        <f>VLOOKUP($C39,Sektor_Thema[],6,FALSE)</f>
        <v>-</v>
      </c>
      <c r="AM39" s="49" t="str">
        <f>VLOOKUP($C39,Sektor_Thema[],7,FALSE)</f>
        <v>-</v>
      </c>
      <c r="AN39" s="49" t="str">
        <f>VLOOKUP($C39,Sektor_Thema[],8,FALSE)</f>
        <v>Kat. 1</v>
      </c>
      <c r="AO39" s="49" t="str">
        <f>VLOOKUP($C39,Sektor_Thema[],9,FALSE)</f>
        <v>-</v>
      </c>
      <c r="AP39" s="49"/>
      <c r="AQ39" s="49"/>
      <c r="AR39" s="49"/>
      <c r="AS39" s="49"/>
      <c r="AT39" s="39"/>
      <c r="AU39" s="39"/>
      <c r="AV39" s="39"/>
      <c r="AW39" s="39"/>
      <c r="BA39" s="40"/>
    </row>
    <row r="40" spans="1:53" s="9" customFormat="1" ht="18.75" customHeight="1" x14ac:dyDescent="0.35">
      <c r="A40" s="37"/>
      <c r="B40" s="632"/>
      <c r="C40" s="168" t="s">
        <v>20</v>
      </c>
      <c r="D40" s="295">
        <f>IF($D$5="ja",IFERROR(IT_Dienstleistungen[[#Totals],[Scope 1 CO2e '[kg CO2e']]]/1000,""),"")</f>
        <v>0</v>
      </c>
      <c r="E40" s="295">
        <f>IF($D$5="ja",IFERROR(IT_Dienstleistungen[[#Totals],[Scope 2 CO2e '[kg CO2e']]]/1000,""),"")</f>
        <v>0</v>
      </c>
      <c r="F40" s="295">
        <f>IF($D$5="ja",IFERROR(IT_Dienstleistungen[[#Totals],[Scope 3 CO2e '[kg CO2e']]]/1000,""),"")</f>
        <v>0</v>
      </c>
      <c r="G40" s="484">
        <f t="shared" si="4"/>
        <v>0</v>
      </c>
      <c r="H40" s="498" t="e">
        <f t="shared" si="6"/>
        <v>#DIV/0!</v>
      </c>
      <c r="I40" s="49"/>
      <c r="J40" s="49"/>
      <c r="K40" s="49" t="str">
        <f>VLOOKUP($C40,Sektor_Thema[],6,FALSE)</f>
        <v>-</v>
      </c>
      <c r="L40" s="49" t="str">
        <f>VLOOKUP($C40,Sektor_Thema[],7,FALSE)</f>
        <v>-</v>
      </c>
      <c r="M40" s="49" t="str">
        <f>VLOOKUP($C40,Sektor_Thema[],8,FALSE)</f>
        <v>Kat. 1</v>
      </c>
      <c r="N40" s="49" t="str">
        <f>VLOOKUP($C40,Sektor_Thema[],9,FALSE)</f>
        <v>-</v>
      </c>
      <c r="O40" s="49"/>
      <c r="P40" s="49"/>
      <c r="Q40" s="49"/>
      <c r="R40" s="49"/>
      <c r="S40" s="39"/>
      <c r="T40" s="39"/>
      <c r="U40" s="39"/>
      <c r="V40" s="39"/>
      <c r="Z40" s="40"/>
      <c r="AA40" s="426"/>
      <c r="AB40" s="37"/>
      <c r="AC40" s="632"/>
      <c r="AD40" s="168" t="s">
        <v>20</v>
      </c>
      <c r="AE40" s="295">
        <f>IF($AE$5="ja",IFERROR(IT_Dienstleistungen[[#Totals],[Scope 1 CO2e '[kg CO2e']]]/1000,""),"")</f>
        <v>0</v>
      </c>
      <c r="AF40" s="295">
        <f>IF($AE$5="ja",IFERROR(IT_Dienstleistungen[[#Totals],[Scope 2 CO2e '[kg CO2e']]]/1000,""),"")</f>
        <v>0</v>
      </c>
      <c r="AG40" s="295">
        <f>IF($AE$5="ja",IFERROR(IT_Dienstleistungen[[#Totals],[Scope 3 CO2e '[kg CO2e']]]/1000,""),"")</f>
        <v>0</v>
      </c>
      <c r="AH40" s="484">
        <f t="shared" si="5"/>
        <v>0</v>
      </c>
      <c r="AI40" s="507" t="e">
        <f>IF($AE$5="ja",AH40/AH$43,"")</f>
        <v>#DIV/0!</v>
      </c>
      <c r="AJ40" s="49"/>
      <c r="AK40" s="49"/>
      <c r="AL40" s="49" t="str">
        <f>VLOOKUP($C40,Sektor_Thema[],6,FALSE)</f>
        <v>-</v>
      </c>
      <c r="AM40" s="49" t="str">
        <f>VLOOKUP($C40,Sektor_Thema[],7,FALSE)</f>
        <v>-</v>
      </c>
      <c r="AN40" s="49" t="str">
        <f>VLOOKUP($C40,Sektor_Thema[],8,FALSE)</f>
        <v>Kat. 1</v>
      </c>
      <c r="AO40" s="49" t="str">
        <f>VLOOKUP($C40,Sektor_Thema[],9,FALSE)</f>
        <v>-</v>
      </c>
      <c r="AP40" s="49"/>
      <c r="AQ40" s="49"/>
      <c r="AR40" s="49"/>
      <c r="AS40" s="49"/>
      <c r="AT40" s="39"/>
      <c r="AU40" s="39"/>
      <c r="AV40" s="39"/>
      <c r="AW40" s="39"/>
      <c r="BA40" s="40"/>
    </row>
    <row r="41" spans="1:53" s="9" customFormat="1" ht="18.75" customHeight="1" x14ac:dyDescent="0.35">
      <c r="A41" s="37"/>
      <c r="B41" s="632"/>
      <c r="C41" s="168" t="s">
        <v>19</v>
      </c>
      <c r="D41" s="295">
        <f>IF($D$5="ja",IFERROR(Relevante_Stoffströme[[#Totals],[Scope 1 CO2e '[kg CO2e']]]/1000,""),"")</f>
        <v>0</v>
      </c>
      <c r="E41" s="295">
        <f>IF($D$5="ja",IFERROR(Relevante_Stoffströme[[#Totals],[Scope 2 CO2e '[kg CO2e']]]/1000,""),"")</f>
        <v>0</v>
      </c>
      <c r="F41" s="295">
        <f>IF($D$5="ja",IFERROR(SUM(Relevante_Stoffströme[[#Totals],[Scope 3.1 CO2e '[kg CO2e']]:[Scope 3.5 CO2e '[kg CO2e']]]),"")/1000,"")</f>
        <v>0</v>
      </c>
      <c r="G41" s="484">
        <f t="shared" si="4"/>
        <v>0</v>
      </c>
      <c r="H41" s="498" t="e">
        <f t="shared" si="6"/>
        <v>#DIV/0!</v>
      </c>
      <c r="I41" s="49">
        <f>IFERROR(SUM(Relevante_Stoffströme[[#Totals],[Scope 3.1 CO2e '[kg CO2e']]])/1000,"")</f>
        <v>0</v>
      </c>
      <c r="J41" s="334">
        <f>IFERROR(SUM(Relevante_Stoffströme[[#Totals],[Scope 3.5 CO2e '[kg CO2e']]])/1000,"")</f>
        <v>0</v>
      </c>
      <c r="K41" s="49" t="str">
        <f>VLOOKUP($C41,Sektor_Thema[],6,FALSE)</f>
        <v>-</v>
      </c>
      <c r="L41" s="49" t="str">
        <f>VLOOKUP($C41,Sektor_Thema[],7,FALSE)</f>
        <v>-</v>
      </c>
      <c r="M41" s="49" t="str">
        <f>VLOOKUP($C41,Sektor_Thema[],8,FALSE)</f>
        <v>Kat. 1</v>
      </c>
      <c r="N41" s="49" t="str">
        <f>VLOOKUP($C41,Sektor_Thema[],9,FALSE)</f>
        <v>Kat. 5</v>
      </c>
      <c r="O41" s="49"/>
      <c r="P41" s="49"/>
      <c r="Q41" s="49"/>
      <c r="R41" s="49"/>
      <c r="S41" s="39"/>
      <c r="T41" s="39"/>
      <c r="U41" s="39"/>
      <c r="V41" s="39"/>
      <c r="Z41" s="40"/>
      <c r="AA41" s="426"/>
      <c r="AB41" s="37"/>
      <c r="AC41" s="632"/>
      <c r="AD41" s="168" t="s">
        <v>19</v>
      </c>
      <c r="AE41" s="295">
        <f>IF($AE$5="ja",IFERROR(Relevante_Stoffströme[[#Totals],[Scope 1 CO2e '[kg CO2e']]]/1000,""),"")</f>
        <v>0</v>
      </c>
      <c r="AF41" s="295">
        <f>IF($AE$5="ja",IFERROR(Relevante_Stoffströme[[#Totals],[Scope 2 CO2e '[kg CO2e']]]/1000,""),"")</f>
        <v>0</v>
      </c>
      <c r="AG41" s="295">
        <f>IF($AE$5="ja",IFERROR(SUM(Relevante_Stoffströme[[#Totals],[Scope 3.1 CO2e '[kg CO2e']]:[Scope 3.5 CO2e '[kg CO2e']]]),"")/1000,"")</f>
        <v>0</v>
      </c>
      <c r="AH41" s="484">
        <f t="shared" si="5"/>
        <v>0</v>
      </c>
      <c r="AI41" s="507" t="e">
        <f>IF($AE$5="ja",AH41/AH$43,"")</f>
        <v>#DIV/0!</v>
      </c>
      <c r="AJ41" s="49">
        <f>IFERROR(SUM(Relevante_Stoffströme[[#Totals],[Scope 3.1 CO2e '[kg CO2e']]])/1000,"")</f>
        <v>0</v>
      </c>
      <c r="AK41" s="334">
        <f>IFERROR(SUM(Relevante_Stoffströme[[#Totals],[Scope 3.5 CO2e '[kg CO2e']]])/1000,"")</f>
        <v>0</v>
      </c>
      <c r="AL41" s="49" t="str">
        <f>VLOOKUP($C41,Sektor_Thema[],6,FALSE)</f>
        <v>-</v>
      </c>
      <c r="AM41" s="49" t="str">
        <f>VLOOKUP($C41,Sektor_Thema[],7,FALSE)</f>
        <v>-</v>
      </c>
      <c r="AN41" s="49" t="str">
        <f>VLOOKUP($C41,Sektor_Thema[],8,FALSE)</f>
        <v>Kat. 1</v>
      </c>
      <c r="AO41" s="49" t="str">
        <f>VLOOKUP($C41,Sektor_Thema[],9,FALSE)</f>
        <v>Kat. 5</v>
      </c>
      <c r="AP41" s="49"/>
      <c r="AQ41" s="49"/>
      <c r="AR41" s="49"/>
      <c r="AS41" s="49"/>
      <c r="AT41" s="39"/>
      <c r="AU41" s="39"/>
      <c r="AV41" s="39"/>
      <c r="AW41" s="39"/>
      <c r="BA41" s="40"/>
    </row>
    <row r="42" spans="1:53" s="9" customFormat="1" ht="18.75" customHeight="1" x14ac:dyDescent="0.35">
      <c r="A42" s="37"/>
      <c r="B42" s="633"/>
      <c r="C42" s="169" t="s">
        <v>324</v>
      </c>
      <c r="D42" s="296">
        <f>IF($D$5="ja",SUM(D38:D41),"")</f>
        <v>0</v>
      </c>
      <c r="E42" s="296">
        <f>IF($D$5="ja",SUM(E38:E41),"")</f>
        <v>0</v>
      </c>
      <c r="F42" s="296">
        <f>IF($D$5="ja",SUM(F38:F41),"")</f>
        <v>0</v>
      </c>
      <c r="G42" s="485">
        <f>IF($D$5="ja",SUM(D42:F42),"")</f>
        <v>0</v>
      </c>
      <c r="H42" s="499" t="e">
        <f>IF($D$5="ja",SUM(H38:H41),"")</f>
        <v>#DIV/0!</v>
      </c>
      <c r="I42" s="49"/>
      <c r="J42" s="49"/>
      <c r="K42" s="49"/>
      <c r="L42" s="49"/>
      <c r="M42" s="49"/>
      <c r="N42" s="49"/>
      <c r="O42" s="49"/>
      <c r="P42" s="49"/>
      <c r="Q42" s="49"/>
      <c r="R42" s="49"/>
      <c r="S42" s="39"/>
      <c r="T42" s="39"/>
      <c r="U42" s="39"/>
      <c r="V42" s="39"/>
      <c r="Z42" s="40"/>
      <c r="AA42" s="426"/>
      <c r="AB42" s="37"/>
      <c r="AC42" s="633"/>
      <c r="AD42" s="169" t="s">
        <v>324</v>
      </c>
      <c r="AE42" s="296">
        <f>IF($AE$5="ja",SUM(AE38:AE41),"")</f>
        <v>0</v>
      </c>
      <c r="AF42" s="296">
        <f>IF($AE$5="ja",SUM(AF38:AF41),"")</f>
        <v>0</v>
      </c>
      <c r="AG42" s="296">
        <f>IF($AE$5="ja",SUM(AG38:AG41),"")</f>
        <v>0</v>
      </c>
      <c r="AH42" s="485">
        <f t="shared" si="5"/>
        <v>0</v>
      </c>
      <c r="AI42" s="508" t="e">
        <f>IF($AE$5="ja",SUM(AI38:AI41),"")</f>
        <v>#DIV/0!</v>
      </c>
      <c r="AJ42" s="49"/>
      <c r="AK42" s="49"/>
      <c r="AL42" s="49"/>
      <c r="AM42" s="49"/>
      <c r="AN42" s="49"/>
      <c r="AO42" s="49"/>
      <c r="AP42" s="49"/>
      <c r="AQ42" s="49"/>
      <c r="AR42" s="49"/>
      <c r="AS42" s="49"/>
      <c r="AT42" s="39"/>
      <c r="AU42" s="39"/>
      <c r="AV42" s="39"/>
      <c r="AW42" s="39"/>
      <c r="BA42" s="40"/>
    </row>
    <row r="43" spans="1:53" ht="18.75" customHeight="1" x14ac:dyDescent="0.35">
      <c r="A43" s="34"/>
      <c r="B43" s="214" t="s">
        <v>321</v>
      </c>
      <c r="C43" s="164"/>
      <c r="D43" s="294">
        <f>IF($D$5="ja",D37+D42,"")</f>
        <v>0</v>
      </c>
      <c r="E43" s="294">
        <f>IF($D$5="ja",E37+E42,"")</f>
        <v>0</v>
      </c>
      <c r="F43" s="294">
        <f>IF($D$5="ja",F37+F42,"")</f>
        <v>0</v>
      </c>
      <c r="G43" s="486">
        <f t="shared" si="4"/>
        <v>0</v>
      </c>
      <c r="H43" s="500" t="e">
        <f>IF($D$5="ja",SUM(H37,H42),"")</f>
        <v>#DIV/0!</v>
      </c>
      <c r="I43" s="42"/>
      <c r="J43" s="42"/>
      <c r="K43" s="42"/>
      <c r="L43" s="42"/>
      <c r="M43" s="42"/>
      <c r="N43" s="42"/>
      <c r="O43" s="42"/>
      <c r="P43" s="42"/>
      <c r="Q43" s="42"/>
      <c r="R43" s="42"/>
      <c r="S43" s="8"/>
      <c r="T43" s="8"/>
      <c r="U43" s="8"/>
      <c r="V43" s="8"/>
      <c r="Z43" s="35"/>
      <c r="AA43" s="28"/>
      <c r="AB43" s="34"/>
      <c r="AC43" s="214" t="s">
        <v>321</v>
      </c>
      <c r="AD43" s="164"/>
      <c r="AE43" s="294">
        <f>IF($AE$5="ja",AE37+AE42,"")</f>
        <v>0</v>
      </c>
      <c r="AF43" s="294">
        <f>IF($AE$5="ja",AF37+AF42,"")</f>
        <v>0</v>
      </c>
      <c r="AG43" s="294">
        <f>IF($AE$5="ja",AG37+AG42,"")</f>
        <v>0</v>
      </c>
      <c r="AH43" s="486">
        <f t="shared" si="5"/>
        <v>0</v>
      </c>
      <c r="AI43" s="505" t="e">
        <f>IF($AE$5="ja",SUM(AI37,AI42),"")</f>
        <v>#DIV/0!</v>
      </c>
      <c r="AJ43" s="42"/>
      <c r="AK43" s="42"/>
      <c r="AL43" s="42"/>
      <c r="AM43" s="42"/>
      <c r="AN43" s="42"/>
      <c r="AO43" s="42"/>
      <c r="AP43" s="42"/>
      <c r="AQ43" s="42"/>
      <c r="AR43" s="42"/>
      <c r="AS43" s="42"/>
      <c r="AT43" s="8"/>
      <c r="AU43" s="8"/>
      <c r="AV43" s="8"/>
      <c r="AW43" s="8"/>
      <c r="BA43" s="35"/>
    </row>
    <row r="44" spans="1:53" s="9" customFormat="1" ht="24" customHeight="1" x14ac:dyDescent="0.35">
      <c r="A44" s="37"/>
      <c r="B44" s="15"/>
      <c r="C44" s="10"/>
      <c r="D44"/>
      <c r="E44"/>
      <c r="F44"/>
      <c r="G44"/>
      <c r="H44" s="49"/>
      <c r="I44" s="49"/>
      <c r="J44" s="49"/>
      <c r="K44" s="49"/>
      <c r="L44" s="49"/>
      <c r="M44" s="49"/>
      <c r="N44" s="49"/>
      <c r="O44" s="49"/>
      <c r="P44" s="49"/>
      <c r="Q44" s="49"/>
      <c r="R44" s="49"/>
      <c r="S44" s="39"/>
      <c r="T44" s="39"/>
      <c r="U44" s="39"/>
      <c r="V44" s="39"/>
      <c r="Z44" s="40"/>
      <c r="AA44" s="426"/>
      <c r="AB44" s="37"/>
      <c r="AC44" s="15"/>
      <c r="AD44" s="10"/>
      <c r="AE44"/>
      <c r="AF44"/>
      <c r="AG44"/>
      <c r="AH44" s="510"/>
      <c r="AI44" s="49"/>
      <c r="AJ44" s="49"/>
      <c r="AK44" s="49"/>
      <c r="AL44" s="49"/>
      <c r="AM44" s="49"/>
      <c r="AN44" s="49"/>
      <c r="AO44" s="49"/>
      <c r="AP44" s="49"/>
      <c r="AQ44" s="49"/>
      <c r="AR44" s="49"/>
      <c r="AS44" s="49"/>
      <c r="AT44" s="39"/>
      <c r="AU44" s="39"/>
      <c r="AV44" s="39"/>
      <c r="AW44" s="39"/>
      <c r="BA44" s="40"/>
    </row>
    <row r="45" spans="1:53" ht="18.5" x14ac:dyDescent="0.35">
      <c r="A45" s="34"/>
      <c r="B45" s="36"/>
      <c r="C45" s="38"/>
      <c r="D45" s="9"/>
      <c r="E45" s="9"/>
      <c r="F45" s="9"/>
      <c r="G45" s="9"/>
      <c r="H45" s="42"/>
      <c r="I45" s="42"/>
      <c r="J45" s="42"/>
      <c r="K45" s="42"/>
      <c r="L45" s="42"/>
      <c r="M45" s="42"/>
      <c r="N45" s="42"/>
      <c r="O45" s="42"/>
      <c r="P45" s="42"/>
      <c r="Q45" s="42"/>
      <c r="R45" s="42"/>
      <c r="S45" s="8"/>
      <c r="T45" s="8"/>
      <c r="U45" s="8"/>
      <c r="V45" s="8"/>
      <c r="Z45" s="35"/>
      <c r="AA45" s="28"/>
      <c r="AB45" s="34"/>
      <c r="AC45" s="36"/>
      <c r="AD45" s="38"/>
      <c r="AE45" s="9"/>
      <c r="AF45" s="9"/>
      <c r="AG45" s="9"/>
      <c r="AH45" s="9"/>
      <c r="AI45" s="42"/>
      <c r="AJ45" s="42"/>
      <c r="AK45" s="42"/>
      <c r="AL45" s="42"/>
      <c r="AM45" s="42"/>
      <c r="AN45" s="42"/>
      <c r="AO45" s="42"/>
      <c r="AP45" s="42"/>
      <c r="AQ45" s="42"/>
      <c r="AR45" s="42"/>
      <c r="AS45" s="42"/>
      <c r="AT45" s="8"/>
      <c r="AU45" s="8"/>
      <c r="AV45" s="8"/>
      <c r="AW45" s="8"/>
      <c r="BA45" s="35"/>
    </row>
    <row r="46" spans="1:53" ht="18.75" customHeight="1" x14ac:dyDescent="0.35">
      <c r="A46" s="34"/>
      <c r="B46" s="83"/>
      <c r="C46" s="84"/>
      <c r="D46" s="85"/>
      <c r="E46" s="85"/>
      <c r="H46" s="42"/>
      <c r="I46" s="42"/>
      <c r="J46" s="42"/>
      <c r="K46" s="42"/>
      <c r="L46" s="42"/>
      <c r="M46" s="42"/>
      <c r="N46" s="42"/>
      <c r="O46" s="42"/>
      <c r="P46" s="42"/>
      <c r="Q46" s="42"/>
      <c r="R46" s="42"/>
      <c r="S46" s="8"/>
      <c r="T46" s="8"/>
      <c r="U46" s="8"/>
      <c r="V46" s="8"/>
      <c r="Z46" s="35"/>
      <c r="AA46" s="28"/>
      <c r="AB46" s="34"/>
      <c r="AC46" s="83"/>
      <c r="AD46" s="84"/>
      <c r="AE46" s="85"/>
      <c r="AF46" s="85"/>
      <c r="AI46" s="42"/>
      <c r="AJ46" s="42"/>
      <c r="AK46" s="42"/>
      <c r="AL46" s="42"/>
      <c r="AM46" s="42"/>
      <c r="AN46" s="42"/>
      <c r="AO46" s="42"/>
      <c r="AP46" s="42"/>
      <c r="AQ46" s="42"/>
      <c r="AR46" s="42"/>
      <c r="AS46" s="42"/>
      <c r="AT46" s="8"/>
      <c r="AU46" s="8"/>
      <c r="AV46" s="8"/>
      <c r="AW46" s="8"/>
      <c r="BA46" s="35"/>
    </row>
    <row r="47" spans="1:53" ht="18.75" customHeight="1" x14ac:dyDescent="0.35">
      <c r="A47" s="34"/>
      <c r="B47" s="250"/>
      <c r="C47" s="38"/>
      <c r="D47" s="9"/>
      <c r="E47" s="9"/>
      <c r="H47" s="42"/>
      <c r="I47" s="42"/>
      <c r="J47" s="42"/>
      <c r="K47" s="42"/>
      <c r="L47" s="42"/>
      <c r="M47" s="42"/>
      <c r="N47" s="42"/>
      <c r="O47" s="42"/>
      <c r="P47" s="42"/>
      <c r="Q47" s="42"/>
      <c r="R47" s="42"/>
      <c r="S47" s="8"/>
      <c r="T47" s="8"/>
      <c r="U47" s="8"/>
      <c r="V47" s="8"/>
      <c r="Z47" s="35"/>
      <c r="AA47" s="28"/>
      <c r="AB47" s="34"/>
      <c r="AC47" s="250"/>
      <c r="AD47" s="38"/>
      <c r="AE47" s="9"/>
      <c r="AF47" s="9"/>
      <c r="AI47" s="42"/>
      <c r="AJ47" s="42"/>
      <c r="AK47" s="42"/>
      <c r="AL47" s="42"/>
      <c r="AM47" s="42"/>
      <c r="AN47" s="42"/>
      <c r="AO47" s="42"/>
      <c r="AP47" s="42"/>
      <c r="AQ47" s="42"/>
      <c r="AR47" s="42"/>
      <c r="AS47" s="42"/>
      <c r="AT47" s="8"/>
      <c r="AU47" s="8"/>
      <c r="AV47" s="8"/>
      <c r="AW47" s="8"/>
      <c r="BA47" s="35"/>
    </row>
    <row r="48" spans="1:53" ht="12.75" customHeight="1" x14ac:dyDescent="0.35">
      <c r="A48" s="34"/>
      <c r="B48" s="250"/>
      <c r="C48" s="38"/>
      <c r="D48" s="9"/>
      <c r="E48" s="9"/>
      <c r="H48" s="42"/>
      <c r="I48" s="42"/>
      <c r="J48" s="42"/>
      <c r="K48" s="42"/>
      <c r="L48" s="42"/>
      <c r="M48" s="42"/>
      <c r="N48" s="42"/>
      <c r="O48" s="42"/>
      <c r="P48" s="42"/>
      <c r="Q48" s="42"/>
      <c r="R48" s="42"/>
      <c r="S48" s="8"/>
      <c r="T48" s="8"/>
      <c r="U48" s="8"/>
      <c r="V48" s="8"/>
      <c r="Z48" s="35"/>
      <c r="AA48" s="28"/>
      <c r="AB48" s="34"/>
      <c r="AC48" s="250"/>
      <c r="AD48" s="38"/>
      <c r="AE48" s="9"/>
      <c r="AF48" s="9"/>
      <c r="AI48" s="42"/>
      <c r="AJ48" s="42"/>
      <c r="AK48" s="42"/>
      <c r="AL48" s="42"/>
      <c r="AM48" s="42"/>
      <c r="AN48" s="42"/>
      <c r="AO48" s="42"/>
      <c r="AP48" s="42"/>
      <c r="AQ48" s="42"/>
      <c r="AR48" s="42"/>
      <c r="AS48" s="42"/>
      <c r="AT48" s="8"/>
      <c r="AU48" s="8"/>
      <c r="AV48" s="8"/>
      <c r="AW48" s="8"/>
      <c r="BA48" s="35"/>
    </row>
    <row r="49" spans="1:53" ht="6" customHeight="1" x14ac:dyDescent="0.35">
      <c r="A49" s="34"/>
      <c r="B49" s="250"/>
      <c r="C49" s="38"/>
      <c r="D49" s="9"/>
      <c r="E49" s="9"/>
      <c r="H49" s="42"/>
      <c r="I49" s="42"/>
      <c r="J49" s="42"/>
      <c r="K49" s="42"/>
      <c r="L49" s="42"/>
      <c r="M49" s="42"/>
      <c r="N49" s="42"/>
      <c r="O49" s="42"/>
      <c r="P49" s="42"/>
      <c r="Q49" s="42"/>
      <c r="R49" s="42"/>
      <c r="S49" s="8"/>
      <c r="T49" s="8"/>
      <c r="U49" s="8"/>
      <c r="V49" s="8"/>
      <c r="Z49" s="35"/>
      <c r="AA49" s="28"/>
      <c r="AB49" s="34"/>
      <c r="AC49" s="250"/>
      <c r="AD49" s="38"/>
      <c r="AE49" s="9"/>
      <c r="AF49" s="9"/>
      <c r="AI49" s="42"/>
      <c r="AJ49" s="42"/>
      <c r="AK49" s="42"/>
      <c r="AL49" s="42"/>
      <c r="AM49" s="42"/>
      <c r="AN49" s="42"/>
      <c r="AO49" s="42"/>
      <c r="AP49" s="42"/>
      <c r="AQ49" s="42"/>
      <c r="AR49" s="42"/>
      <c r="AS49" s="42"/>
      <c r="AT49" s="8"/>
      <c r="AU49" s="8"/>
      <c r="AV49" s="8"/>
      <c r="AW49" s="8"/>
      <c r="BA49" s="35"/>
    </row>
    <row r="50" spans="1:53" ht="6" customHeight="1" x14ac:dyDescent="0.35">
      <c r="A50" s="34"/>
      <c r="B50" s="250"/>
      <c r="C50" s="38"/>
      <c r="D50" s="9"/>
      <c r="E50" s="9"/>
      <c r="P50" s="8"/>
      <c r="Q50" s="8"/>
      <c r="R50" s="8"/>
      <c r="S50" s="8"/>
      <c r="T50" s="8"/>
      <c r="U50" s="8"/>
      <c r="V50" s="8"/>
      <c r="Z50" s="35"/>
      <c r="AA50" s="28"/>
      <c r="AB50" s="34"/>
      <c r="AC50" s="250"/>
      <c r="AD50" s="38"/>
      <c r="AE50" s="9"/>
      <c r="AF50" s="9"/>
      <c r="AI50" s="8"/>
      <c r="AJ50" s="8"/>
      <c r="AK50" s="8"/>
      <c r="AL50" s="8"/>
      <c r="AM50" s="8"/>
      <c r="AN50" s="8"/>
      <c r="AO50" s="8"/>
      <c r="AP50" s="8"/>
      <c r="AQ50" s="8"/>
      <c r="AR50" s="8"/>
      <c r="AS50" s="8"/>
      <c r="AT50" s="8"/>
      <c r="AU50" s="8"/>
      <c r="AV50" s="8"/>
      <c r="AW50" s="8"/>
      <c r="BA50" s="35"/>
    </row>
    <row r="51" spans="1:53" ht="6" customHeight="1" x14ac:dyDescent="0.35">
      <c r="A51" s="34"/>
      <c r="P51" s="8"/>
      <c r="Q51" s="8"/>
      <c r="R51" s="8"/>
      <c r="S51" s="8"/>
      <c r="T51" s="8"/>
      <c r="U51" s="8"/>
      <c r="V51" s="8"/>
      <c r="Z51" s="35"/>
      <c r="AA51" s="28"/>
      <c r="AB51" s="34"/>
      <c r="AC51" s="15"/>
      <c r="AD51" s="10"/>
      <c r="AI51" s="8"/>
      <c r="AJ51" s="8"/>
      <c r="AK51" s="8"/>
      <c r="AL51" s="8"/>
      <c r="AM51" s="8"/>
      <c r="AN51" s="8"/>
      <c r="AO51" s="8"/>
      <c r="AP51" s="8"/>
      <c r="AQ51" s="8"/>
      <c r="AR51" s="8"/>
      <c r="AS51" s="8"/>
      <c r="AT51" s="8"/>
      <c r="AU51" s="8"/>
      <c r="AV51" s="8"/>
      <c r="AW51" s="8"/>
      <c r="BA51" s="35"/>
    </row>
    <row r="52" spans="1:53" ht="6" customHeight="1" thickBot="1" x14ac:dyDescent="0.4">
      <c r="A52" s="43"/>
      <c r="B52" s="222"/>
      <c r="C52" s="45"/>
      <c r="D52" s="46"/>
      <c r="E52" s="46"/>
      <c r="F52" s="46"/>
      <c r="G52" s="46"/>
      <c r="H52" s="47"/>
      <c r="I52" s="47"/>
      <c r="J52" s="47"/>
      <c r="K52" s="47"/>
      <c r="L52" s="47"/>
      <c r="M52" s="47"/>
      <c r="N52" s="47"/>
      <c r="O52" s="47"/>
      <c r="P52" s="47"/>
      <c r="Q52" s="47"/>
      <c r="R52" s="47"/>
      <c r="S52" s="47"/>
      <c r="T52" s="47"/>
      <c r="U52" s="47"/>
      <c r="V52" s="47"/>
      <c r="W52" s="46"/>
      <c r="X52" s="46"/>
      <c r="Y52" s="46"/>
      <c r="Z52" s="48"/>
      <c r="AA52" s="425"/>
      <c r="AB52" s="43"/>
      <c r="AC52" s="222"/>
      <c r="AD52" s="45"/>
      <c r="AE52" s="46"/>
      <c r="AF52" s="46"/>
      <c r="AG52" s="46"/>
      <c r="AH52" s="46"/>
      <c r="AI52" s="47"/>
      <c r="AJ52" s="47"/>
      <c r="AK52" s="47"/>
      <c r="AL52" s="47"/>
      <c r="AM52" s="47"/>
      <c r="AN52" s="47"/>
      <c r="AO52" s="47"/>
      <c r="AP52" s="47"/>
      <c r="AQ52" s="47"/>
      <c r="AR52" s="47"/>
      <c r="AS52" s="47"/>
      <c r="AT52" s="47"/>
      <c r="AU52" s="47"/>
      <c r="AV52" s="47"/>
      <c r="AW52" s="47"/>
      <c r="AX52" s="46"/>
      <c r="AY52" s="46"/>
      <c r="AZ52" s="46"/>
      <c r="BA52" s="48"/>
    </row>
    <row r="53" spans="1:53" ht="24" customHeight="1" x14ac:dyDescent="0.35">
      <c r="A53" s="34"/>
      <c r="B53" s="211" t="s">
        <v>328</v>
      </c>
      <c r="D53" s="211" t="str">
        <f>$D$11</f>
        <v/>
      </c>
      <c r="Z53" s="35"/>
      <c r="AA53" s="28"/>
      <c r="AB53" s="34"/>
      <c r="AC53" s="211" t="s">
        <v>328</v>
      </c>
      <c r="AD53" s="10"/>
      <c r="AE53" s="211" t="str">
        <f>$D$11</f>
        <v/>
      </c>
      <c r="AI53" s="8"/>
      <c r="AJ53" s="8"/>
      <c r="AK53" s="8"/>
      <c r="AL53" s="8"/>
      <c r="AM53" s="8"/>
      <c r="AN53" s="8"/>
      <c r="AO53" s="8"/>
      <c r="AP53" s="8"/>
      <c r="BA53" s="35"/>
    </row>
    <row r="54" spans="1:53" ht="12" customHeight="1" x14ac:dyDescent="0.35">
      <c r="A54" s="34"/>
      <c r="B54" s="212"/>
      <c r="Z54" s="35"/>
      <c r="AA54" s="28"/>
      <c r="AB54" s="34"/>
      <c r="AC54" s="212"/>
      <c r="AD54" s="10"/>
      <c r="AI54" s="8"/>
      <c r="AJ54" s="8"/>
      <c r="AK54" s="8"/>
      <c r="AL54" s="8"/>
      <c r="AM54" s="8"/>
      <c r="AN54" s="8"/>
      <c r="AO54" s="8"/>
      <c r="AP54" s="8"/>
      <c r="BA54" s="35"/>
    </row>
    <row r="55" spans="1:53" ht="46" thickBot="1" x14ac:dyDescent="0.4">
      <c r="A55" s="34"/>
      <c r="D55" s="341" t="s">
        <v>583</v>
      </c>
      <c r="E55" s="174" t="s">
        <v>582</v>
      </c>
      <c r="F55" s="480" t="s">
        <v>325</v>
      </c>
      <c r="G55" s="511" t="s">
        <v>608</v>
      </c>
      <c r="H55" s="487" t="s">
        <v>609</v>
      </c>
      <c r="I55" s="42"/>
      <c r="J55" s="42"/>
      <c r="K55" s="42"/>
      <c r="L55" s="42"/>
      <c r="M55" s="42"/>
      <c r="N55" s="42"/>
      <c r="O55" s="42"/>
      <c r="P55" s="42"/>
      <c r="Q55" s="42"/>
      <c r="R55" s="42"/>
      <c r="S55" s="42"/>
      <c r="T55" s="42"/>
      <c r="Z55" s="35"/>
      <c r="AA55" s="28"/>
      <c r="AB55" s="34"/>
      <c r="AC55" s="15"/>
      <c r="AD55" s="10"/>
      <c r="AE55" s="341" t="s">
        <v>583</v>
      </c>
      <c r="AF55" s="174" t="s">
        <v>582</v>
      </c>
      <c r="AG55" s="480" t="s">
        <v>325</v>
      </c>
      <c r="AH55" s="511" t="s">
        <v>608</v>
      </c>
      <c r="AI55" s="487" t="s">
        <v>609</v>
      </c>
      <c r="AJ55" s="42"/>
      <c r="AK55" s="42"/>
      <c r="AL55" s="42"/>
      <c r="AM55" s="42"/>
      <c r="AN55" s="42"/>
      <c r="AO55" s="42"/>
      <c r="AP55" s="42"/>
      <c r="AQ55" s="42"/>
      <c r="AR55" s="42"/>
      <c r="AS55" s="42"/>
      <c r="AT55" s="42"/>
      <c r="AU55" s="42"/>
      <c r="BA55" s="35"/>
    </row>
    <row r="56" spans="1:53" ht="15.75" customHeight="1" x14ac:dyDescent="0.35">
      <c r="A56" s="34"/>
      <c r="B56" s="245" t="s">
        <v>101</v>
      </c>
      <c r="C56" s="246"/>
      <c r="D56" s="246"/>
      <c r="E56" s="246"/>
      <c r="F56" s="490"/>
      <c r="G56" s="512"/>
      <c r="H56" s="42"/>
      <c r="I56" s="42"/>
      <c r="J56" s="42"/>
      <c r="K56" s="42"/>
      <c r="L56" s="42"/>
      <c r="M56" s="42"/>
      <c r="N56" s="42"/>
      <c r="O56" s="42"/>
      <c r="P56" s="42"/>
      <c r="Q56" s="42"/>
      <c r="R56" s="42"/>
      <c r="S56" s="42"/>
      <c r="T56" s="42"/>
      <c r="Z56" s="35"/>
      <c r="AA56" s="28"/>
      <c r="AB56" s="34"/>
      <c r="AC56" s="245" t="s">
        <v>101</v>
      </c>
      <c r="AD56" s="246"/>
      <c r="AE56" s="246"/>
      <c r="AF56" s="246"/>
      <c r="AG56" s="490"/>
      <c r="AH56" s="512"/>
      <c r="AI56" s="42"/>
      <c r="AJ56" s="42"/>
      <c r="AK56" s="42"/>
      <c r="AL56" s="42"/>
      <c r="AM56" s="42"/>
      <c r="AN56" s="42"/>
      <c r="AO56" s="42"/>
      <c r="AP56" s="42"/>
      <c r="AQ56" s="42"/>
      <c r="AR56" s="42"/>
      <c r="AS56" s="42"/>
      <c r="AT56" s="42"/>
      <c r="AU56" s="42"/>
      <c r="BA56" s="35"/>
    </row>
    <row r="57" spans="1:53" ht="18.75" customHeight="1" x14ac:dyDescent="0.35">
      <c r="A57" s="34"/>
      <c r="B57" s="172" t="s">
        <v>84</v>
      </c>
      <c r="C57" s="173" t="s">
        <v>92</v>
      </c>
      <c r="D57" s="297">
        <f>SUMIF(K$29:K$36,$B57,D$29:D$36)</f>
        <v>0</v>
      </c>
      <c r="E57" s="297">
        <f>IF($D$5="ja",SUMIF(K$38:K$41,$B57,D$38:D$41),"")</f>
        <v>0</v>
      </c>
      <c r="F57" s="491">
        <f>IF($D$5="ja",SUM(D57:E57),"")</f>
        <v>0</v>
      </c>
      <c r="G57" s="513" t="e">
        <f>D57/D$75</f>
        <v>#DIV/0!</v>
      </c>
      <c r="H57" s="501" t="e">
        <f>IF($D$5="ja",F57/F$75,"")</f>
        <v>#DIV/0!</v>
      </c>
      <c r="I57" s="41" t="s">
        <v>220</v>
      </c>
      <c r="J57" s="41" t="str">
        <f>CONCATENATE(I57,": ",C57)</f>
        <v>Scope 1.1: Emissionen aus stationärer Verbrennung</v>
      </c>
      <c r="K57" s="41" t="s">
        <v>230</v>
      </c>
      <c r="L57" s="42"/>
      <c r="M57" s="42"/>
      <c r="N57" s="42"/>
      <c r="O57" s="42"/>
      <c r="P57" s="42"/>
      <c r="Q57" s="42"/>
      <c r="R57" s="42"/>
      <c r="S57" s="42"/>
      <c r="T57" s="42"/>
      <c r="Z57" s="35"/>
      <c r="AA57" s="28"/>
      <c r="AB57" s="34"/>
      <c r="AC57" s="172" t="s">
        <v>84</v>
      </c>
      <c r="AD57" s="173" t="s">
        <v>92</v>
      </c>
      <c r="AE57" s="297">
        <f>SUMIF(AL$29:AL$36,$AC57,AE$29:AE$36)</f>
        <v>0</v>
      </c>
      <c r="AF57" s="297">
        <f>IF($AE$5="ja",SUMIF(AL$38:AL$41,$AC57,AE$38:AE$41),"")</f>
        <v>0</v>
      </c>
      <c r="AG57" s="491">
        <f>IF($AE$5="ja",SUM(AE57:AF57),"")</f>
        <v>0</v>
      </c>
      <c r="AH57" s="513" t="e">
        <f>AE57/AE$75</f>
        <v>#DIV/0!</v>
      </c>
      <c r="AI57" s="501" t="e">
        <f>IF($AE$5="ja",AG57/AG$75,"")</f>
        <v>#DIV/0!</v>
      </c>
      <c r="AJ57" s="41" t="s">
        <v>220</v>
      </c>
      <c r="AK57" s="41" t="str">
        <f>CONCATENATE(AJ57,": ",AD57)</f>
        <v>Scope 1.1: Emissionen aus stationärer Verbrennung</v>
      </c>
      <c r="AL57" s="41" t="s">
        <v>230</v>
      </c>
      <c r="AM57" s="42"/>
      <c r="AN57" s="42"/>
      <c r="AO57" s="42"/>
      <c r="AP57" s="42"/>
      <c r="AQ57" s="42"/>
      <c r="AR57" s="42"/>
      <c r="AS57" s="42"/>
      <c r="AT57" s="42"/>
      <c r="AU57" s="42"/>
      <c r="BA57" s="35"/>
    </row>
    <row r="58" spans="1:53" ht="18.75" customHeight="1" x14ac:dyDescent="0.35">
      <c r="A58" s="34"/>
      <c r="B58" s="172" t="s">
        <v>85</v>
      </c>
      <c r="C58" s="173" t="s">
        <v>93</v>
      </c>
      <c r="D58" s="297">
        <f>SUMIF(K$29:K$36,$B58,D$29:D$36)</f>
        <v>0</v>
      </c>
      <c r="E58" s="297">
        <f>IF($D$5="ja",SUMIF(K$38:K$41,$B58,D$38:D$41),"")</f>
        <v>0</v>
      </c>
      <c r="F58" s="491">
        <f>IF($D$5="ja",SUM(D58:E58),"")</f>
        <v>0</v>
      </c>
      <c r="G58" s="513" t="e">
        <f t="shared" ref="G58:G72" si="7">D58/D$75</f>
        <v>#DIV/0!</v>
      </c>
      <c r="H58" s="501" t="e">
        <f t="shared" ref="H58:H72" si="8">IF($D$5="ja",F58/F$75,"")</f>
        <v>#DIV/0!</v>
      </c>
      <c r="I58" s="41" t="s">
        <v>222</v>
      </c>
      <c r="J58" s="41" t="str">
        <f>CONCATENATE(I58,": ",C58)</f>
        <v>Scope 1.2: Emissionen aus mobiler Verbrennung</v>
      </c>
      <c r="K58" s="41" t="s">
        <v>231</v>
      </c>
      <c r="L58" s="42"/>
      <c r="M58" s="42"/>
      <c r="N58" s="42"/>
      <c r="O58" s="42"/>
      <c r="P58" s="42"/>
      <c r="Q58" s="42"/>
      <c r="R58" s="42"/>
      <c r="S58" s="42"/>
      <c r="T58" s="42"/>
      <c r="Z58" s="35"/>
      <c r="AA58" s="28"/>
      <c r="AB58" s="34"/>
      <c r="AC58" s="172" t="s">
        <v>85</v>
      </c>
      <c r="AD58" s="173" t="s">
        <v>93</v>
      </c>
      <c r="AE58" s="297">
        <f>SUMIF(AL$29:AL$36,$AC58,AE$29:AE$36)</f>
        <v>0</v>
      </c>
      <c r="AF58" s="297">
        <f>IF($AE$5="ja",SUMIF(AL$38:AL$41,$AC58,AE$38:AE$41),"")</f>
        <v>0</v>
      </c>
      <c r="AG58" s="491">
        <f>IF($AE$5="ja",SUM(AE58:AF58),"")</f>
        <v>0</v>
      </c>
      <c r="AH58" s="513" t="e">
        <f t="shared" ref="AH58:AH59" si="9">AE58/AE$75</f>
        <v>#DIV/0!</v>
      </c>
      <c r="AI58" s="501" t="e">
        <f>IF($AE$5="ja",AG58/AG$75,"")</f>
        <v>#DIV/0!</v>
      </c>
      <c r="AJ58" s="41" t="s">
        <v>222</v>
      </c>
      <c r="AK58" s="41" t="str">
        <f>CONCATENATE(AJ58,": ",AD58)</f>
        <v>Scope 1.2: Emissionen aus mobiler Verbrennung</v>
      </c>
      <c r="AL58" s="41" t="s">
        <v>231</v>
      </c>
      <c r="AM58" s="42"/>
      <c r="AN58" s="42"/>
      <c r="AO58" s="42"/>
      <c r="AP58" s="42"/>
      <c r="AQ58" s="42"/>
      <c r="AR58" s="42"/>
      <c r="AS58" s="42"/>
      <c r="AT58" s="42"/>
      <c r="AU58" s="42"/>
      <c r="BA58" s="35"/>
    </row>
    <row r="59" spans="1:53" ht="18.75" customHeight="1" x14ac:dyDescent="0.35">
      <c r="A59" s="34"/>
      <c r="B59" s="172" t="s">
        <v>87</v>
      </c>
      <c r="C59" s="173" t="s">
        <v>94</v>
      </c>
      <c r="D59" s="297">
        <f>SUMIF(K$29:K$36,$B59,D$29:D$36)</f>
        <v>0</v>
      </c>
      <c r="E59" s="297">
        <f>IF($D$5="ja",SUMIF(K$38:K$41,$B59,D$38:D$41),"")</f>
        <v>0</v>
      </c>
      <c r="F59" s="491">
        <f>IF($D$5="ja",SUM(D59:E59),"")</f>
        <v>0</v>
      </c>
      <c r="G59" s="513" t="e">
        <f t="shared" si="7"/>
        <v>#DIV/0!</v>
      </c>
      <c r="H59" s="501" t="e">
        <f t="shared" si="8"/>
        <v>#DIV/0!</v>
      </c>
      <c r="I59" s="41" t="s">
        <v>223</v>
      </c>
      <c r="J59" s="41" t="str">
        <f>CONCATENATE(I59,": ",C59)</f>
        <v>Scope 1.4: Emissionen aus Verflüchtigungen</v>
      </c>
      <c r="K59" s="41" t="s">
        <v>232</v>
      </c>
      <c r="L59" s="42"/>
      <c r="M59" s="42"/>
      <c r="N59" s="42"/>
      <c r="O59" s="42"/>
      <c r="P59" s="42"/>
      <c r="Q59" s="42"/>
      <c r="R59" s="42"/>
      <c r="S59" s="42"/>
      <c r="T59" s="42"/>
      <c r="Z59" s="35"/>
      <c r="AA59" s="28"/>
      <c r="AB59" s="34"/>
      <c r="AC59" s="172" t="s">
        <v>87</v>
      </c>
      <c r="AD59" s="173" t="s">
        <v>94</v>
      </c>
      <c r="AE59" s="297">
        <f>SUMIF(AL$29:AL$36,$AC59,AE$29:AE$36)</f>
        <v>0</v>
      </c>
      <c r="AF59" s="297">
        <f>IF($AE$5="ja",SUMIF(AL$38:AL$41,$AC59,AE$38:AE$41),"")</f>
        <v>0</v>
      </c>
      <c r="AG59" s="491">
        <f>IF($AE$5="ja",SUM(AE59:AF59),"")</f>
        <v>0</v>
      </c>
      <c r="AH59" s="513" t="e">
        <f t="shared" si="9"/>
        <v>#DIV/0!</v>
      </c>
      <c r="AI59" s="501" t="e">
        <f>IF($AE$5="ja",AG59/AG$75,"")</f>
        <v>#DIV/0!</v>
      </c>
      <c r="AJ59" s="41" t="s">
        <v>223</v>
      </c>
      <c r="AK59" s="41" t="str">
        <f>CONCATENATE(AJ59,": ",AD59)</f>
        <v>Scope 1.4: Emissionen aus Verflüchtigungen</v>
      </c>
      <c r="AL59" s="41" t="s">
        <v>232</v>
      </c>
      <c r="AM59" s="42"/>
      <c r="AN59" s="42"/>
      <c r="AO59" s="42"/>
      <c r="AP59" s="42"/>
      <c r="AQ59" s="42"/>
      <c r="AR59" s="42"/>
      <c r="AS59" s="42"/>
      <c r="AT59" s="42"/>
      <c r="AU59" s="42"/>
      <c r="BA59" s="35"/>
    </row>
    <row r="60" spans="1:53" s="9" customFormat="1" ht="18.75" customHeight="1" x14ac:dyDescent="0.35">
      <c r="A60" s="37"/>
      <c r="B60" s="254" t="s">
        <v>204</v>
      </c>
      <c r="C60" s="255" t="s">
        <v>241</v>
      </c>
      <c r="D60" s="298">
        <f>SUM(D57:D59)</f>
        <v>0</v>
      </c>
      <c r="E60" s="298">
        <f>IF($D$5="ja",SUM(E57:E59),"")</f>
        <v>0</v>
      </c>
      <c r="F60" s="492">
        <f>IF($D$5="ja",SUM(D60:E60),"")</f>
        <v>0</v>
      </c>
      <c r="G60" s="514" t="e">
        <f>SUM(G57:G59)</f>
        <v>#DIV/0!</v>
      </c>
      <c r="H60" s="503" t="e">
        <f>SUM(H57:H59)</f>
        <v>#DIV/0!</v>
      </c>
      <c r="I60" s="49"/>
      <c r="J60" s="49"/>
      <c r="K60" s="49"/>
      <c r="L60" s="49"/>
      <c r="M60" s="49"/>
      <c r="N60" s="49"/>
      <c r="O60" s="49"/>
      <c r="P60" s="49"/>
      <c r="Q60" s="49"/>
      <c r="R60" s="49"/>
      <c r="S60" s="49"/>
      <c r="T60" s="49"/>
      <c r="Z60" s="40"/>
      <c r="AA60" s="426"/>
      <c r="AB60" s="37"/>
      <c r="AC60" s="254" t="s">
        <v>204</v>
      </c>
      <c r="AD60" s="255" t="s">
        <v>241</v>
      </c>
      <c r="AE60" s="298">
        <f>SUM(AE57:AE59)</f>
        <v>0</v>
      </c>
      <c r="AF60" s="298">
        <f>IF($AE$5="ja",SUM(AF57:AF59),"")</f>
        <v>0</v>
      </c>
      <c r="AG60" s="492">
        <f>IF($AE$5="ja",SUM(AE60:AF60),"")</f>
        <v>0</v>
      </c>
      <c r="AH60" s="514" t="e">
        <f>SUM(AH57:AH59)</f>
        <v>#DIV/0!</v>
      </c>
      <c r="AI60" s="503" t="e">
        <f>SUM(AI57:AI59)</f>
        <v>#DIV/0!</v>
      </c>
      <c r="AJ60" s="49"/>
      <c r="AK60" s="49"/>
      <c r="AL60" s="49"/>
      <c r="AM60" s="49"/>
      <c r="AN60" s="49"/>
      <c r="AO60" s="49"/>
      <c r="AP60" s="49"/>
      <c r="AQ60" s="49"/>
      <c r="AR60" s="49"/>
      <c r="AS60" s="49"/>
      <c r="AT60" s="49"/>
      <c r="AU60" s="49"/>
      <c r="BA60" s="40"/>
    </row>
    <row r="61" spans="1:53" ht="19.5" customHeight="1" x14ac:dyDescent="0.35">
      <c r="A61" s="34"/>
      <c r="B61" s="251" t="s">
        <v>102</v>
      </c>
      <c r="C61" s="252"/>
      <c r="D61" s="252"/>
      <c r="E61" s="252"/>
      <c r="F61" s="493"/>
      <c r="G61" s="515"/>
      <c r="H61" s="502"/>
      <c r="I61" s="41"/>
      <c r="J61" s="41"/>
      <c r="K61" s="41"/>
      <c r="L61" s="42"/>
      <c r="M61" s="42"/>
      <c r="N61" s="42"/>
      <c r="O61" s="42"/>
      <c r="P61" s="42"/>
      <c r="Q61" s="42"/>
      <c r="R61" s="42"/>
      <c r="S61" s="42"/>
      <c r="T61" s="42"/>
      <c r="Z61" s="35"/>
      <c r="AA61" s="28"/>
      <c r="AB61" s="34"/>
      <c r="AC61" s="251" t="s">
        <v>102</v>
      </c>
      <c r="AD61" s="252"/>
      <c r="AE61" s="252"/>
      <c r="AF61" s="252"/>
      <c r="AG61" s="493"/>
      <c r="AH61" s="515"/>
      <c r="AI61" s="502"/>
      <c r="AJ61" s="41"/>
      <c r="AK61" s="41"/>
      <c r="AL61" s="41"/>
      <c r="AM61" s="42"/>
      <c r="AN61" s="42"/>
      <c r="AO61" s="42"/>
      <c r="AP61" s="42"/>
      <c r="AQ61" s="42"/>
      <c r="AR61" s="42"/>
      <c r="AS61" s="42"/>
      <c r="AT61" s="42"/>
      <c r="AU61" s="42"/>
      <c r="BA61" s="35"/>
    </row>
    <row r="62" spans="1:53" ht="30.75" customHeight="1" x14ac:dyDescent="0.35">
      <c r="A62" s="34"/>
      <c r="B62" s="172" t="s">
        <v>84</v>
      </c>
      <c r="C62" s="173" t="s">
        <v>95</v>
      </c>
      <c r="D62" s="297">
        <f>SUMIF(L$29:L$36,$B62,E$29:E$36)</f>
        <v>0</v>
      </c>
      <c r="E62" s="297">
        <f>IF($D$5="ja",SUMIF(L$38:L$41,$B62,E$38:E$41),"")</f>
        <v>0</v>
      </c>
      <c r="F62" s="491">
        <f>IF($D$5="ja",SUM(D62:E62),"")</f>
        <v>0</v>
      </c>
      <c r="G62" s="513" t="e">
        <f t="shared" si="7"/>
        <v>#DIV/0!</v>
      </c>
      <c r="H62" s="501" t="e">
        <f>IF($D$5="ja",F62/F$75,"")</f>
        <v>#DIV/0!</v>
      </c>
      <c r="I62" s="41" t="s">
        <v>224</v>
      </c>
      <c r="J62" s="41" t="str">
        <f>CONCATENATE(I62,": ",C62)</f>
        <v>Scope 2.1: Emissionen aus zugekauftem und verbrauchtem Strom</v>
      </c>
      <c r="K62" s="41" t="s">
        <v>238</v>
      </c>
      <c r="L62" s="42"/>
      <c r="M62" s="42"/>
      <c r="N62" s="42"/>
      <c r="O62" s="42"/>
      <c r="P62" s="42"/>
      <c r="Q62" s="42"/>
      <c r="R62" s="42"/>
      <c r="S62" s="42"/>
      <c r="T62" s="42"/>
      <c r="Z62" s="35"/>
      <c r="AA62" s="28"/>
      <c r="AB62" s="34"/>
      <c r="AC62" s="172" t="s">
        <v>84</v>
      </c>
      <c r="AD62" s="173" t="s">
        <v>95</v>
      </c>
      <c r="AE62" s="297">
        <f>SUMIF(AM$29:AM$36,$AC62,AF$29:AF$36)</f>
        <v>0</v>
      </c>
      <c r="AF62" s="297">
        <f>IF($AE$5="ja",SUMIF(AM$38:AM$41,$AC62,AF$38:AF$41),"")</f>
        <v>0</v>
      </c>
      <c r="AG62" s="491">
        <f>IF($AE$5="ja",SUM(AE62:AF62),"")</f>
        <v>0</v>
      </c>
      <c r="AH62" s="513" t="e">
        <f t="shared" ref="AH62:AH63" si="10">AE62/AE$75</f>
        <v>#DIV/0!</v>
      </c>
      <c r="AI62" s="501" t="e">
        <f>IF($AE$5="ja",AG62/AG$75,"")</f>
        <v>#DIV/0!</v>
      </c>
      <c r="AJ62" s="41" t="s">
        <v>224</v>
      </c>
      <c r="AK62" s="41" t="str">
        <f>CONCATENATE(AJ62,": ",AD62)</f>
        <v>Scope 2.1: Emissionen aus zugekauftem und verbrauchtem Strom</v>
      </c>
      <c r="AL62" s="41" t="s">
        <v>238</v>
      </c>
      <c r="AM62" s="42"/>
      <c r="AN62" s="42"/>
      <c r="AO62" s="42"/>
      <c r="AP62" s="42"/>
      <c r="AQ62" s="42"/>
      <c r="AR62" s="42"/>
      <c r="AS62" s="42"/>
      <c r="AT62" s="42"/>
      <c r="AU62" s="42"/>
      <c r="BA62" s="35"/>
    </row>
    <row r="63" spans="1:53" ht="30.75" customHeight="1" x14ac:dyDescent="0.35">
      <c r="A63" s="34"/>
      <c r="B63" s="172" t="s">
        <v>85</v>
      </c>
      <c r="C63" s="173" t="s">
        <v>96</v>
      </c>
      <c r="D63" s="297">
        <f>SUMIF(L$29:L$36,$B63,E$29:E$36)</f>
        <v>0</v>
      </c>
      <c r="E63" s="297">
        <f>IF($D$5="ja",SUMIF(L$38:L$41,$B63,E$38:E$41),"")</f>
        <v>0</v>
      </c>
      <c r="F63" s="491">
        <f>IF($D$5="ja",SUM(D63:E63),"")</f>
        <v>0</v>
      </c>
      <c r="G63" s="513" t="e">
        <f t="shared" si="7"/>
        <v>#DIV/0!</v>
      </c>
      <c r="H63" s="501" t="e">
        <f t="shared" si="8"/>
        <v>#DIV/0!</v>
      </c>
      <c r="I63" s="41" t="s">
        <v>221</v>
      </c>
      <c r="J63" s="41" t="str">
        <f>CONCATENATE(I63,": ",C63)</f>
        <v>Scope 2.2: Emissionen aus weiterer zugekaufter Energie (Wärme, Kälte, Dampf, Wasser)</v>
      </c>
      <c r="K63" s="41" t="s">
        <v>239</v>
      </c>
      <c r="L63" s="42"/>
      <c r="M63" s="42"/>
      <c r="N63" s="42"/>
      <c r="O63" s="42"/>
      <c r="P63" s="42"/>
      <c r="Q63" s="42"/>
      <c r="R63" s="42"/>
      <c r="S63" s="42"/>
      <c r="T63" s="42"/>
      <c r="Z63" s="35"/>
      <c r="AA63" s="28"/>
      <c r="AB63" s="34"/>
      <c r="AC63" s="172" t="s">
        <v>85</v>
      </c>
      <c r="AD63" s="173" t="s">
        <v>96</v>
      </c>
      <c r="AE63" s="297">
        <f>SUMIF(AM$29:AM$36,$AC63,AF$29:AF$36)</f>
        <v>0</v>
      </c>
      <c r="AF63" s="297">
        <f>IF($AE$5="ja",SUMIF(AM$38:AM$41,$AC63,AF$38:AF$41),"")</f>
        <v>0</v>
      </c>
      <c r="AG63" s="491">
        <f>IF($AE$5="ja",SUM(AE63:AF63),"")</f>
        <v>0</v>
      </c>
      <c r="AH63" s="513" t="e">
        <f t="shared" si="10"/>
        <v>#DIV/0!</v>
      </c>
      <c r="AI63" s="501" t="e">
        <f>IF($AE$5="ja",AG63/AG$75,"")</f>
        <v>#DIV/0!</v>
      </c>
      <c r="AJ63" s="41" t="s">
        <v>221</v>
      </c>
      <c r="AK63" s="41" t="str">
        <f>CONCATENATE(AJ63,": ",AD63)</f>
        <v>Scope 2.2: Emissionen aus weiterer zugekaufter Energie (Wärme, Kälte, Dampf, Wasser)</v>
      </c>
      <c r="AL63" s="41" t="s">
        <v>239</v>
      </c>
      <c r="AM63" s="42"/>
      <c r="AN63" s="42"/>
      <c r="AO63" s="42"/>
      <c r="AP63" s="42"/>
      <c r="AQ63" s="42"/>
      <c r="AR63" s="42"/>
      <c r="AS63" s="42"/>
      <c r="AT63" s="42"/>
      <c r="AU63" s="42"/>
      <c r="BA63" s="35"/>
    </row>
    <row r="64" spans="1:53" s="9" customFormat="1" ht="18.75" customHeight="1" x14ac:dyDescent="0.35">
      <c r="A64" s="37"/>
      <c r="B64" s="254" t="s">
        <v>204</v>
      </c>
      <c r="C64" s="255" t="s">
        <v>242</v>
      </c>
      <c r="D64" s="298">
        <f>SUM(D62:D63)</f>
        <v>0</v>
      </c>
      <c r="E64" s="298">
        <f>IF($D$5="ja",SUM(E62:E63),"")</f>
        <v>0</v>
      </c>
      <c r="F64" s="492">
        <f>IF($D$5="ja",SUM(D64:E64),"")</f>
        <v>0</v>
      </c>
      <c r="G64" s="514" t="e">
        <f>SUM(G62:G63)</f>
        <v>#DIV/0!</v>
      </c>
      <c r="H64" s="503" t="e">
        <f>SUM(H62:H63)</f>
        <v>#DIV/0!</v>
      </c>
      <c r="I64" s="49"/>
      <c r="J64" s="49"/>
      <c r="K64" s="49"/>
      <c r="L64" s="49"/>
      <c r="M64" s="49"/>
      <c r="N64" s="49"/>
      <c r="O64" s="49"/>
      <c r="P64" s="49"/>
      <c r="Q64" s="49"/>
      <c r="R64" s="49"/>
      <c r="S64" s="49"/>
      <c r="T64" s="49"/>
      <c r="Z64" s="40"/>
      <c r="AA64" s="426"/>
      <c r="AB64" s="37"/>
      <c r="AC64" s="254" t="s">
        <v>204</v>
      </c>
      <c r="AD64" s="255" t="s">
        <v>242</v>
      </c>
      <c r="AE64" s="298">
        <f>SUM(AE62:AE63)</f>
        <v>0</v>
      </c>
      <c r="AF64" s="298">
        <f>IF($AE$5="ja",SUM(AF62:AF63),"")</f>
        <v>0</v>
      </c>
      <c r="AG64" s="492">
        <f>IF($AE$5="ja",SUM(AE64:AF64),"")</f>
        <v>0</v>
      </c>
      <c r="AH64" s="514" t="e">
        <f>SUM(AH62:AH63)</f>
        <v>#DIV/0!</v>
      </c>
      <c r="AI64" s="503" t="e">
        <f>SUM(AI62:AI63)</f>
        <v>#DIV/0!</v>
      </c>
      <c r="AJ64" s="49"/>
      <c r="AK64" s="49"/>
      <c r="AL64" s="49"/>
      <c r="AM64" s="49"/>
      <c r="AN64" s="49"/>
      <c r="AO64" s="49"/>
      <c r="AP64" s="49"/>
      <c r="AQ64" s="49"/>
      <c r="AR64" s="49"/>
      <c r="AS64" s="49"/>
      <c r="AT64" s="49"/>
      <c r="AU64" s="49"/>
      <c r="BA64" s="40"/>
    </row>
    <row r="65" spans="1:53" ht="19.5" customHeight="1" x14ac:dyDescent="0.35">
      <c r="A65" s="34"/>
      <c r="B65" s="251" t="s">
        <v>103</v>
      </c>
      <c r="C65" s="252"/>
      <c r="D65" s="252"/>
      <c r="E65" s="252"/>
      <c r="F65" s="493"/>
      <c r="G65" s="515"/>
      <c r="H65" s="502"/>
      <c r="I65" s="41"/>
      <c r="J65" s="41"/>
      <c r="K65" s="41"/>
      <c r="L65" s="42"/>
      <c r="M65" s="42"/>
      <c r="N65" s="42"/>
      <c r="O65" s="42"/>
      <c r="P65" s="42"/>
      <c r="Q65" s="42"/>
      <c r="R65" s="42"/>
      <c r="S65" s="42"/>
      <c r="T65" s="42"/>
      <c r="Z65" s="35"/>
      <c r="AA65" s="28"/>
      <c r="AB65" s="34"/>
      <c r="AC65" s="251" t="s">
        <v>103</v>
      </c>
      <c r="AD65" s="252"/>
      <c r="AE65" s="252"/>
      <c r="AF65" s="252"/>
      <c r="AG65" s="493"/>
      <c r="AH65" s="515"/>
      <c r="AI65" s="502"/>
      <c r="AJ65" s="41"/>
      <c r="AK65" s="41"/>
      <c r="AL65" s="41"/>
      <c r="AM65" s="42"/>
      <c r="AN65" s="42"/>
      <c r="AO65" s="42"/>
      <c r="AP65" s="42"/>
      <c r="AQ65" s="42"/>
      <c r="AR65" s="42"/>
      <c r="AS65" s="42"/>
      <c r="AT65" s="42"/>
      <c r="AU65" s="42"/>
      <c r="BA65" s="35"/>
    </row>
    <row r="66" spans="1:53" ht="18.75" customHeight="1" x14ac:dyDescent="0.35">
      <c r="A66" s="34"/>
      <c r="B66" s="172" t="s">
        <v>84</v>
      </c>
      <c r="C66" s="173" t="s">
        <v>97</v>
      </c>
      <c r="D66" s="297">
        <f t="shared" ref="D66:D72" si="11">SUMIF(M$29:M$36,$B66,F$29:F$36)</f>
        <v>0</v>
      </c>
      <c r="E66" s="297">
        <f>IF($D$5="ja",SUM(SUMIF(M$38:M$40,$B66,F$38:F$40),$I$41),"")</f>
        <v>0</v>
      </c>
      <c r="F66" s="491">
        <f>IF($D$5="ja",SUM(D66:E66),"")</f>
        <v>0</v>
      </c>
      <c r="G66" s="513" t="e">
        <f t="shared" si="7"/>
        <v>#DIV/0!</v>
      </c>
      <c r="H66" s="501" t="e">
        <f t="shared" si="8"/>
        <v>#DIV/0!</v>
      </c>
      <c r="I66" s="41" t="s">
        <v>212</v>
      </c>
      <c r="J66" s="41" t="str">
        <f t="shared" ref="J66:J72" si="12">CONCATENATE(I66,": ",C66)</f>
        <v>Scope 3.1: Eingekaufte Waren und Dienstleistungen</v>
      </c>
      <c r="K66" s="41" t="s">
        <v>233</v>
      </c>
      <c r="L66" s="42"/>
      <c r="M66" s="42"/>
      <c r="N66" s="42"/>
      <c r="O66" s="42"/>
      <c r="P66" s="42"/>
      <c r="Q66" s="42"/>
      <c r="R66" s="42"/>
      <c r="S66" s="42"/>
      <c r="T66" s="42"/>
      <c r="Z66" s="35"/>
      <c r="AA66" s="28"/>
      <c r="AB66" s="34"/>
      <c r="AC66" s="172" t="s">
        <v>84</v>
      </c>
      <c r="AD66" s="173" t="s">
        <v>97</v>
      </c>
      <c r="AE66" s="297">
        <f t="shared" ref="AE66:AE72" si="13">SUMIF(AN$29:AN$36,$AC66,AG$29:AG$36)</f>
        <v>0</v>
      </c>
      <c r="AF66" s="297">
        <f>IF($AE$5="ja",SUM(SUMIF(AN$38:AN$40,$AC66,AG$38:AG$40),$I$41),"")</f>
        <v>0</v>
      </c>
      <c r="AG66" s="491">
        <f t="shared" ref="AG66:AG73" si="14">IF($AE$5="ja",SUM(AE66:AF66),"")</f>
        <v>0</v>
      </c>
      <c r="AH66" s="513" t="e">
        <f t="shared" ref="AH66:AH72" si="15">AE66/AE$75</f>
        <v>#DIV/0!</v>
      </c>
      <c r="AI66" s="501" t="e">
        <f t="shared" ref="AI66:AI72" si="16">IF($AE$5="ja",AG66/AG$75,"")</f>
        <v>#DIV/0!</v>
      </c>
      <c r="AJ66" s="41" t="s">
        <v>212</v>
      </c>
      <c r="AK66" s="41" t="str">
        <f t="shared" ref="AK66:AK72" si="17">CONCATENATE(AJ66,": ",AD66)</f>
        <v>Scope 3.1: Eingekaufte Waren und Dienstleistungen</v>
      </c>
      <c r="AL66" s="41" t="s">
        <v>233</v>
      </c>
      <c r="AM66" s="42"/>
      <c r="AN66" s="42"/>
      <c r="AO66" s="42"/>
      <c r="AP66" s="42"/>
      <c r="AQ66" s="42"/>
      <c r="AR66" s="42"/>
      <c r="AS66" s="42"/>
      <c r="AT66" s="42"/>
      <c r="AU66" s="42"/>
      <c r="BA66" s="35"/>
    </row>
    <row r="67" spans="1:53" ht="30.75" customHeight="1" x14ac:dyDescent="0.35">
      <c r="A67" s="34"/>
      <c r="B67" s="172" t="s">
        <v>86</v>
      </c>
      <c r="C67" s="173" t="s">
        <v>98</v>
      </c>
      <c r="D67" s="297">
        <f t="shared" si="11"/>
        <v>0</v>
      </c>
      <c r="E67" s="297">
        <f>IF($D$5="ja",SUMIF(M$38:M$41,$B67,F$38:F$41),"")</f>
        <v>0</v>
      </c>
      <c r="F67" s="491">
        <f t="shared" ref="F67:F73" si="18">IF($D$5="ja",SUM(D67:E67),"")</f>
        <v>0</v>
      </c>
      <c r="G67" s="513" t="e">
        <f t="shared" si="7"/>
        <v>#DIV/0!</v>
      </c>
      <c r="H67" s="501" t="e">
        <f t="shared" si="8"/>
        <v>#DIV/0!</v>
      </c>
      <c r="I67" s="41" t="s">
        <v>225</v>
      </c>
      <c r="J67" s="41" t="str">
        <f t="shared" si="12"/>
        <v>Scope 3.3: Brennstoff und energiebezogene Emissionen (nicht in Scope 1 und 2 enthalten)</v>
      </c>
      <c r="K67" s="41" t="s">
        <v>240</v>
      </c>
      <c r="L67" s="42"/>
      <c r="M67" s="42"/>
      <c r="N67" s="42"/>
      <c r="O67" s="42"/>
      <c r="P67" s="42"/>
      <c r="Q67" s="42"/>
      <c r="R67" s="42"/>
      <c r="S67" s="42"/>
      <c r="T67" s="42"/>
      <c r="Z67" s="35"/>
      <c r="AA67" s="28"/>
      <c r="AB67" s="34"/>
      <c r="AC67" s="172" t="s">
        <v>86</v>
      </c>
      <c r="AD67" s="173" t="s">
        <v>98</v>
      </c>
      <c r="AE67" s="297">
        <f t="shared" si="13"/>
        <v>0</v>
      </c>
      <c r="AF67" s="297">
        <f>IF($AE$5="ja",SUMIF(AN$38:AN$41,$AC67,AG$38:AG$41),"")</f>
        <v>0</v>
      </c>
      <c r="AG67" s="491">
        <f t="shared" si="14"/>
        <v>0</v>
      </c>
      <c r="AH67" s="513" t="e">
        <f t="shared" si="15"/>
        <v>#DIV/0!</v>
      </c>
      <c r="AI67" s="501" t="e">
        <f t="shared" si="16"/>
        <v>#DIV/0!</v>
      </c>
      <c r="AJ67" s="41" t="s">
        <v>225</v>
      </c>
      <c r="AK67" s="41" t="str">
        <f t="shared" si="17"/>
        <v>Scope 3.3: Brennstoff und energiebezogene Emissionen (nicht in Scope 1 und 2 enthalten)</v>
      </c>
      <c r="AL67" s="41" t="s">
        <v>240</v>
      </c>
      <c r="AM67" s="42"/>
      <c r="AN67" s="42"/>
      <c r="AO67" s="42"/>
      <c r="AP67" s="42"/>
      <c r="AQ67" s="42"/>
      <c r="AR67" s="42"/>
      <c r="AS67" s="42"/>
      <c r="AT67" s="42"/>
      <c r="AU67" s="42"/>
      <c r="BA67" s="35"/>
    </row>
    <row r="68" spans="1:53" ht="18.75" customHeight="1" x14ac:dyDescent="0.35">
      <c r="A68" s="34"/>
      <c r="B68" s="172" t="s">
        <v>87</v>
      </c>
      <c r="C68" s="173" t="s">
        <v>99</v>
      </c>
      <c r="D68" s="297">
        <f t="shared" si="11"/>
        <v>0</v>
      </c>
      <c r="E68" s="297">
        <f>IF($D$5="ja",SUMIF(M$38:M$41,$B68,F$38:F$41),"")</f>
        <v>0</v>
      </c>
      <c r="F68" s="491">
        <f t="shared" si="18"/>
        <v>0</v>
      </c>
      <c r="G68" s="513" t="e">
        <f t="shared" si="7"/>
        <v>#DIV/0!</v>
      </c>
      <c r="H68" s="501" t="e">
        <f t="shared" si="8"/>
        <v>#DIV/0!</v>
      </c>
      <c r="I68" s="41" t="s">
        <v>226</v>
      </c>
      <c r="J68" s="41" t="str">
        <f t="shared" si="12"/>
        <v>Scope 3.4: Transport und Verteilung (vorgelagert)</v>
      </c>
      <c r="K68" s="41" t="s">
        <v>234</v>
      </c>
      <c r="L68" s="42"/>
      <c r="M68" s="42"/>
      <c r="N68" s="42"/>
      <c r="O68" s="42"/>
      <c r="P68" s="42"/>
      <c r="Q68" s="42"/>
      <c r="R68" s="42"/>
      <c r="S68" s="42"/>
      <c r="T68" s="42"/>
      <c r="Z68" s="35"/>
      <c r="AA68" s="28"/>
      <c r="AB68" s="34"/>
      <c r="AC68" s="172" t="s">
        <v>87</v>
      </c>
      <c r="AD68" s="173" t="s">
        <v>99</v>
      </c>
      <c r="AE68" s="297">
        <f t="shared" si="13"/>
        <v>0</v>
      </c>
      <c r="AF68" s="297">
        <f>IF($AE$5="ja",SUMIF(AN$38:AN$41,$AC68,AG$38:AG$41),"")</f>
        <v>0</v>
      </c>
      <c r="AG68" s="491">
        <f t="shared" si="14"/>
        <v>0</v>
      </c>
      <c r="AH68" s="513" t="e">
        <f t="shared" si="15"/>
        <v>#DIV/0!</v>
      </c>
      <c r="AI68" s="501" t="e">
        <f t="shared" si="16"/>
        <v>#DIV/0!</v>
      </c>
      <c r="AJ68" s="41" t="s">
        <v>226</v>
      </c>
      <c r="AK68" s="41" t="str">
        <f t="shared" si="17"/>
        <v>Scope 3.4: Transport und Verteilung (vorgelagert)</v>
      </c>
      <c r="AL68" s="41" t="s">
        <v>234</v>
      </c>
      <c r="AM68" s="42"/>
      <c r="AN68" s="42"/>
      <c r="AO68" s="42"/>
      <c r="AP68" s="42"/>
      <c r="AQ68" s="42"/>
      <c r="AR68" s="42"/>
      <c r="AS68" s="42"/>
      <c r="AT68" s="42"/>
      <c r="AU68" s="42"/>
      <c r="BA68" s="35"/>
    </row>
    <row r="69" spans="1:53" ht="18.75" customHeight="1" x14ac:dyDescent="0.35">
      <c r="A69" s="34"/>
      <c r="B69" s="172" t="s">
        <v>88</v>
      </c>
      <c r="C69" s="173" t="s">
        <v>83</v>
      </c>
      <c r="D69" s="297">
        <f t="shared" si="11"/>
        <v>0</v>
      </c>
      <c r="E69" s="297">
        <f>IF($D$5="ja",SUM(SUMIF($N$38:$N$40,$B69,F$38:F$40),$J$41),"")</f>
        <v>0</v>
      </c>
      <c r="F69" s="491">
        <f t="shared" si="18"/>
        <v>0</v>
      </c>
      <c r="G69" s="513" t="e">
        <f t="shared" si="7"/>
        <v>#DIV/0!</v>
      </c>
      <c r="H69" s="501" t="e">
        <f t="shared" si="8"/>
        <v>#DIV/0!</v>
      </c>
      <c r="I69" s="41" t="s">
        <v>213</v>
      </c>
      <c r="J69" s="41" t="str">
        <f t="shared" si="12"/>
        <v>Scope 3.5: Abfall</v>
      </c>
      <c r="K69" s="41" t="s">
        <v>235</v>
      </c>
      <c r="L69" s="42"/>
      <c r="M69" s="42"/>
      <c r="N69" s="42"/>
      <c r="O69" s="42"/>
      <c r="P69" s="42"/>
      <c r="Q69" s="42"/>
      <c r="R69" s="42"/>
      <c r="S69" s="42"/>
      <c r="T69" s="42"/>
      <c r="Z69" s="35"/>
      <c r="AA69" s="28"/>
      <c r="AB69" s="34"/>
      <c r="AC69" s="172" t="s">
        <v>88</v>
      </c>
      <c r="AD69" s="173" t="s">
        <v>83</v>
      </c>
      <c r="AE69" s="297">
        <f t="shared" si="13"/>
        <v>0</v>
      </c>
      <c r="AF69" s="297">
        <f>IF($AE$5="ja",SUM(SUMIF($N$38:$N$40,$AC69,AG$38:AG$40),$J$41),"")</f>
        <v>0</v>
      </c>
      <c r="AG69" s="491">
        <f t="shared" si="14"/>
        <v>0</v>
      </c>
      <c r="AH69" s="513" t="e">
        <f t="shared" si="15"/>
        <v>#DIV/0!</v>
      </c>
      <c r="AI69" s="501" t="e">
        <f t="shared" si="16"/>
        <v>#DIV/0!</v>
      </c>
      <c r="AJ69" s="41" t="s">
        <v>213</v>
      </c>
      <c r="AK69" s="41" t="str">
        <f t="shared" si="17"/>
        <v>Scope 3.5: Abfall</v>
      </c>
      <c r="AL69" s="41" t="s">
        <v>235</v>
      </c>
      <c r="AM69" s="42"/>
      <c r="AN69" s="42"/>
      <c r="AO69" s="42"/>
      <c r="AP69" s="42"/>
      <c r="AQ69" s="42"/>
      <c r="AR69" s="42"/>
      <c r="AS69" s="42"/>
      <c r="AT69" s="42"/>
      <c r="AU69" s="42"/>
      <c r="BA69" s="35"/>
    </row>
    <row r="70" spans="1:53" ht="18.75" customHeight="1" x14ac:dyDescent="0.35">
      <c r="A70" s="34"/>
      <c r="B70" s="172" t="s">
        <v>89</v>
      </c>
      <c r="C70" s="173" t="s">
        <v>18</v>
      </c>
      <c r="D70" s="297">
        <f t="shared" si="11"/>
        <v>0</v>
      </c>
      <c r="E70" s="297">
        <f>IF($D$5="ja",SUMIF(M$38:M$41,$B70,F$38:F$41),"")</f>
        <v>0</v>
      </c>
      <c r="F70" s="491">
        <f t="shared" si="18"/>
        <v>0</v>
      </c>
      <c r="G70" s="513" t="e">
        <f>D70/D$75</f>
        <v>#DIV/0!</v>
      </c>
      <c r="H70" s="501" t="e">
        <f t="shared" si="8"/>
        <v>#DIV/0!</v>
      </c>
      <c r="I70" s="41" t="s">
        <v>227</v>
      </c>
      <c r="J70" s="41" t="str">
        <f t="shared" si="12"/>
        <v>Scope 3.6: Geschäftsreisen</v>
      </c>
      <c r="K70" s="41" t="s">
        <v>236</v>
      </c>
      <c r="L70" s="42"/>
      <c r="M70" s="42"/>
      <c r="N70" s="42"/>
      <c r="O70" s="42"/>
      <c r="P70" s="42"/>
      <c r="Q70" s="42"/>
      <c r="R70" s="42"/>
      <c r="S70" s="42"/>
      <c r="T70" s="42"/>
      <c r="Z70" s="35"/>
      <c r="AA70" s="28"/>
      <c r="AB70" s="34"/>
      <c r="AC70" s="172" t="s">
        <v>89</v>
      </c>
      <c r="AD70" s="173" t="s">
        <v>18</v>
      </c>
      <c r="AE70" s="297">
        <f t="shared" si="13"/>
        <v>0</v>
      </c>
      <c r="AF70" s="297">
        <f>IF($AE$5="ja",SUMIF(AN$38:AN$41,$AC70,AG$38:AG$41),"")</f>
        <v>0</v>
      </c>
      <c r="AG70" s="491">
        <f t="shared" si="14"/>
        <v>0</v>
      </c>
      <c r="AH70" s="513" t="e">
        <f t="shared" si="15"/>
        <v>#DIV/0!</v>
      </c>
      <c r="AI70" s="501" t="e">
        <f t="shared" si="16"/>
        <v>#DIV/0!</v>
      </c>
      <c r="AJ70" s="41" t="s">
        <v>227</v>
      </c>
      <c r="AK70" s="41" t="str">
        <f t="shared" si="17"/>
        <v>Scope 3.6: Geschäftsreisen</v>
      </c>
      <c r="AL70" s="41" t="s">
        <v>236</v>
      </c>
      <c r="AM70" s="42"/>
      <c r="AN70" s="42"/>
      <c r="AO70" s="42"/>
      <c r="AP70" s="42"/>
      <c r="AQ70" s="42"/>
      <c r="AR70" s="42"/>
      <c r="AS70" s="42"/>
      <c r="AT70" s="42"/>
      <c r="AU70" s="42"/>
      <c r="BA70" s="35"/>
    </row>
    <row r="71" spans="1:53" ht="18.75" customHeight="1" x14ac:dyDescent="0.35">
      <c r="A71" s="34"/>
      <c r="B71" s="172" t="s">
        <v>90</v>
      </c>
      <c r="C71" s="173" t="s">
        <v>68</v>
      </c>
      <c r="D71" s="297">
        <f t="shared" si="11"/>
        <v>0</v>
      </c>
      <c r="E71" s="297">
        <f>IF($D$5="ja",SUMIF(M$38:M$41,$B71,F$38:F$41),"")</f>
        <v>0</v>
      </c>
      <c r="F71" s="491">
        <f t="shared" si="18"/>
        <v>0</v>
      </c>
      <c r="G71" s="513" t="e">
        <f t="shared" si="7"/>
        <v>#DIV/0!</v>
      </c>
      <c r="H71" s="501" t="e">
        <f t="shared" si="8"/>
        <v>#DIV/0!</v>
      </c>
      <c r="I71" s="41" t="s">
        <v>228</v>
      </c>
      <c r="J71" s="41" t="str">
        <f t="shared" si="12"/>
        <v>Scope 3.7: Pendeln der Mitarbeitenden</v>
      </c>
      <c r="K71" s="41" t="s">
        <v>348</v>
      </c>
      <c r="L71" s="42"/>
      <c r="M71" s="42"/>
      <c r="N71" s="42"/>
      <c r="O71" s="42"/>
      <c r="P71" s="42"/>
      <c r="Q71" s="42"/>
      <c r="R71" s="42"/>
      <c r="S71" s="42"/>
      <c r="T71" s="42"/>
      <c r="Z71" s="35"/>
      <c r="AA71" s="28"/>
      <c r="AB71" s="34"/>
      <c r="AC71" s="172" t="s">
        <v>90</v>
      </c>
      <c r="AD71" s="173" t="s">
        <v>68</v>
      </c>
      <c r="AE71" s="297">
        <f t="shared" si="13"/>
        <v>0</v>
      </c>
      <c r="AF71" s="297">
        <f>IF($AE$5="ja",SUMIF(AN$38:AN$41,$AC71,AG$38:AG$41),"")</f>
        <v>0</v>
      </c>
      <c r="AG71" s="491">
        <f t="shared" si="14"/>
        <v>0</v>
      </c>
      <c r="AH71" s="513" t="e">
        <f t="shared" si="15"/>
        <v>#DIV/0!</v>
      </c>
      <c r="AI71" s="501" t="e">
        <f t="shared" si="16"/>
        <v>#DIV/0!</v>
      </c>
      <c r="AJ71" s="41" t="s">
        <v>228</v>
      </c>
      <c r="AK71" s="41" t="str">
        <f t="shared" si="17"/>
        <v>Scope 3.7: Pendeln der Mitarbeitenden</v>
      </c>
      <c r="AL71" s="41" t="s">
        <v>348</v>
      </c>
      <c r="AM71" s="42"/>
      <c r="AN71" s="42"/>
      <c r="AO71" s="42"/>
      <c r="AP71" s="42"/>
      <c r="AQ71" s="42"/>
      <c r="AR71" s="42"/>
      <c r="AS71" s="42"/>
      <c r="AT71" s="42"/>
      <c r="AU71" s="42"/>
      <c r="BA71" s="35"/>
    </row>
    <row r="72" spans="1:53" ht="18.75" customHeight="1" x14ac:dyDescent="0.35">
      <c r="A72" s="34"/>
      <c r="B72" s="172" t="s">
        <v>91</v>
      </c>
      <c r="C72" s="173" t="s">
        <v>100</v>
      </c>
      <c r="D72" s="297">
        <f t="shared" si="11"/>
        <v>0</v>
      </c>
      <c r="E72" s="297">
        <f>IF($D$5="ja",SUMIF(M$38:M$41,$B72,F$38:F$41),"")</f>
        <v>0</v>
      </c>
      <c r="F72" s="491">
        <f t="shared" si="18"/>
        <v>0</v>
      </c>
      <c r="G72" s="513" t="e">
        <f t="shared" si="7"/>
        <v>#DIV/0!</v>
      </c>
      <c r="H72" s="501" t="e">
        <f t="shared" si="8"/>
        <v>#DIV/0!</v>
      </c>
      <c r="I72" s="41" t="s">
        <v>229</v>
      </c>
      <c r="J72" s="41" t="str">
        <f t="shared" si="12"/>
        <v>Scope 3.9: Transport und Verteilung (nachgelagert)</v>
      </c>
      <c r="K72" s="41" t="s">
        <v>237</v>
      </c>
      <c r="L72" s="42"/>
      <c r="M72" s="42"/>
      <c r="N72" s="42"/>
      <c r="O72" s="42"/>
      <c r="P72" s="42"/>
      <c r="Q72" s="42"/>
      <c r="R72" s="42"/>
      <c r="S72" s="42"/>
      <c r="T72" s="42"/>
      <c r="Z72" s="35"/>
      <c r="AA72" s="28"/>
      <c r="AB72" s="34"/>
      <c r="AC72" s="172" t="s">
        <v>91</v>
      </c>
      <c r="AD72" s="173" t="s">
        <v>100</v>
      </c>
      <c r="AE72" s="297">
        <f t="shared" si="13"/>
        <v>0</v>
      </c>
      <c r="AF72" s="297">
        <f>IF($AE$5="ja",SUMIF(AN$38:AN$41,$AC72,AG$38:AG$41),"")</f>
        <v>0</v>
      </c>
      <c r="AG72" s="491">
        <f t="shared" si="14"/>
        <v>0</v>
      </c>
      <c r="AH72" s="513" t="e">
        <f t="shared" si="15"/>
        <v>#DIV/0!</v>
      </c>
      <c r="AI72" s="501" t="e">
        <f t="shared" si="16"/>
        <v>#DIV/0!</v>
      </c>
      <c r="AJ72" s="41" t="s">
        <v>229</v>
      </c>
      <c r="AK72" s="41" t="str">
        <f t="shared" si="17"/>
        <v>Scope 3.9: Transport und Verteilung (nachgelagert)</v>
      </c>
      <c r="AL72" s="41" t="s">
        <v>237</v>
      </c>
      <c r="AM72" s="42"/>
      <c r="AN72" s="42"/>
      <c r="AO72" s="42"/>
      <c r="AP72" s="42"/>
      <c r="AQ72" s="42"/>
      <c r="AR72" s="42"/>
      <c r="AS72" s="42"/>
      <c r="AT72" s="42"/>
      <c r="AU72" s="42"/>
      <c r="BA72" s="35"/>
    </row>
    <row r="73" spans="1:53" s="9" customFormat="1" ht="18.75" customHeight="1" x14ac:dyDescent="0.35">
      <c r="A73" s="37"/>
      <c r="B73" s="254" t="s">
        <v>204</v>
      </c>
      <c r="C73" s="255" t="s">
        <v>243</v>
      </c>
      <c r="D73" s="298">
        <f>SUM(D66:D72)</f>
        <v>0</v>
      </c>
      <c r="E73" s="298">
        <f>IF($D$5="ja",SUM(E66:E72),"")</f>
        <v>0</v>
      </c>
      <c r="F73" s="492">
        <f t="shared" si="18"/>
        <v>0</v>
      </c>
      <c r="G73" s="514" t="e">
        <f>SUM(G66:G72)</f>
        <v>#DIV/0!</v>
      </c>
      <c r="H73" s="503" t="e">
        <f>SUM(H66:H72)</f>
        <v>#DIV/0!</v>
      </c>
      <c r="I73" s="49"/>
      <c r="J73" s="49"/>
      <c r="K73" s="49"/>
      <c r="L73" s="49"/>
      <c r="M73" s="49"/>
      <c r="N73" s="49"/>
      <c r="O73" s="49"/>
      <c r="P73" s="49"/>
      <c r="Q73" s="49"/>
      <c r="R73" s="49"/>
      <c r="S73" s="49"/>
      <c r="T73" s="49"/>
      <c r="Z73" s="40"/>
      <c r="AA73" s="426"/>
      <c r="AB73" s="37"/>
      <c r="AC73" s="254" t="s">
        <v>204</v>
      </c>
      <c r="AD73" s="255" t="s">
        <v>243</v>
      </c>
      <c r="AE73" s="298">
        <f>SUM(AE66:AE72)</f>
        <v>0</v>
      </c>
      <c r="AF73" s="298">
        <f>IF($AE$5="ja",SUM(AF66:AF72),"")</f>
        <v>0</v>
      </c>
      <c r="AG73" s="492">
        <f t="shared" si="14"/>
        <v>0</v>
      </c>
      <c r="AH73" s="514" t="e">
        <f>SUM(AH66:AH72)</f>
        <v>#DIV/0!</v>
      </c>
      <c r="AI73" s="503" t="e">
        <f>SUM(AI66:AI72)</f>
        <v>#DIV/0!</v>
      </c>
      <c r="AJ73" s="49"/>
      <c r="AK73" s="49"/>
      <c r="AL73" s="49"/>
      <c r="AM73" s="49"/>
      <c r="AN73" s="49"/>
      <c r="AO73" s="49"/>
      <c r="AP73" s="49"/>
      <c r="AQ73" s="49"/>
      <c r="AR73" s="49"/>
      <c r="AS73" s="49"/>
      <c r="AT73" s="49"/>
      <c r="AU73" s="49"/>
      <c r="BA73" s="40"/>
    </row>
    <row r="74" spans="1:53" ht="6" customHeight="1" x14ac:dyDescent="0.35">
      <c r="A74" s="34"/>
      <c r="B74" s="247"/>
      <c r="C74" s="248"/>
      <c r="D74" s="249"/>
      <c r="E74" s="249"/>
      <c r="F74" s="494"/>
      <c r="G74" s="516"/>
      <c r="H74" s="504"/>
      <c r="I74" s="42"/>
      <c r="J74" s="42"/>
      <c r="K74" s="42"/>
      <c r="L74" s="42"/>
      <c r="M74" s="42"/>
      <c r="N74" s="42"/>
      <c r="O74" s="42"/>
      <c r="P74" s="42"/>
      <c r="Q74" s="42"/>
      <c r="R74" s="42"/>
      <c r="S74" s="42"/>
      <c r="T74" s="42"/>
      <c r="Z74" s="35"/>
      <c r="AA74" s="28"/>
      <c r="AB74" s="34"/>
      <c r="AC74" s="247"/>
      <c r="AD74" s="248"/>
      <c r="AE74" s="249"/>
      <c r="AF74" s="249"/>
      <c r="AG74" s="494"/>
      <c r="AH74" s="516"/>
      <c r="AI74" s="504"/>
      <c r="AJ74" s="42"/>
      <c r="AK74" s="42"/>
      <c r="AL74" s="42"/>
      <c r="AM74" s="42"/>
      <c r="AN74" s="42"/>
      <c r="AO74" s="42"/>
      <c r="AP74" s="42"/>
      <c r="AQ74" s="42"/>
      <c r="AR74" s="42"/>
      <c r="AS74" s="42"/>
      <c r="AT74" s="42"/>
      <c r="AU74" s="42"/>
      <c r="BA74" s="35"/>
    </row>
    <row r="75" spans="1:53" ht="18.5" customHeight="1" x14ac:dyDescent="0.35">
      <c r="A75" s="34"/>
      <c r="B75" s="164" t="s">
        <v>453</v>
      </c>
      <c r="C75" s="256"/>
      <c r="D75" s="294">
        <f>SUM(D60,D64,D73)</f>
        <v>0</v>
      </c>
      <c r="E75" s="294">
        <f>IF($D$5="ja",SUM(E60,E64,E73),"")</f>
        <v>0</v>
      </c>
      <c r="F75" s="486">
        <f>IF($D$5="ja",SUM(D75:E75),"")</f>
        <v>0</v>
      </c>
      <c r="G75" s="517" t="e">
        <f>SUM(G60,G64,G73)</f>
        <v>#DIV/0!</v>
      </c>
      <c r="H75" s="505" t="e">
        <f>SUM(H60,H64,H73)</f>
        <v>#DIV/0!</v>
      </c>
      <c r="I75" s="42"/>
      <c r="J75" s="42"/>
      <c r="K75" s="42"/>
      <c r="L75" s="42"/>
      <c r="M75" s="42"/>
      <c r="N75" s="42"/>
      <c r="O75" s="42"/>
      <c r="P75" s="42"/>
      <c r="Q75" s="42"/>
      <c r="R75" s="42"/>
      <c r="S75" s="42"/>
      <c r="T75" s="42"/>
      <c r="Z75" s="35"/>
      <c r="AA75" s="28"/>
      <c r="AB75" s="34"/>
      <c r="AC75" s="164" t="s">
        <v>453</v>
      </c>
      <c r="AD75" s="256"/>
      <c r="AE75" s="294">
        <f>SUM(AE60,AE64,AE73)</f>
        <v>0</v>
      </c>
      <c r="AF75" s="294">
        <f>IF($AE$5="ja",SUM(AF60,AF64,AF73),"")</f>
        <v>0</v>
      </c>
      <c r="AG75" s="486">
        <f>IF($AE$5="ja",SUM(AE75:AF75),"")</f>
        <v>0</v>
      </c>
      <c r="AH75" s="517" t="e">
        <f>SUM(AH60,AH64,AH73)</f>
        <v>#DIV/0!</v>
      </c>
      <c r="AI75" s="505" t="e">
        <f>SUM(AI60,AI64,AI73)</f>
        <v>#DIV/0!</v>
      </c>
      <c r="AJ75" s="42"/>
      <c r="AK75" s="42"/>
      <c r="AL75" s="42"/>
      <c r="AM75" s="42"/>
      <c r="AN75" s="42"/>
      <c r="AO75" s="42"/>
      <c r="AP75" s="42"/>
      <c r="AQ75" s="42"/>
      <c r="AR75" s="42"/>
      <c r="AS75" s="42"/>
      <c r="AT75" s="42"/>
      <c r="AU75" s="42"/>
      <c r="BA75" s="35"/>
    </row>
    <row r="76" spans="1:53" ht="6" customHeight="1" x14ac:dyDescent="0.35">
      <c r="A76" s="34"/>
      <c r="B76" s="247"/>
      <c r="C76" s="248"/>
      <c r="D76" s="249"/>
      <c r="E76" s="249"/>
      <c r="F76" s="494"/>
      <c r="G76" s="518"/>
      <c r="I76" s="42"/>
      <c r="J76" s="42"/>
      <c r="K76" s="42"/>
      <c r="L76" s="42"/>
      <c r="M76" s="42"/>
      <c r="N76" s="42"/>
      <c r="O76" s="42"/>
      <c r="P76" s="42"/>
      <c r="Q76" s="42"/>
      <c r="R76" s="42"/>
      <c r="S76" s="42"/>
      <c r="T76" s="42"/>
      <c r="Z76" s="35"/>
      <c r="AA76" s="28"/>
      <c r="AB76" s="34"/>
      <c r="AC76" s="247"/>
      <c r="AD76" s="248"/>
      <c r="AE76" s="249"/>
      <c r="AF76" s="249"/>
      <c r="AG76" s="494"/>
      <c r="AH76" s="518"/>
      <c r="AI76" s="8"/>
      <c r="AJ76" s="42"/>
      <c r="AK76" s="42"/>
      <c r="AL76" s="42"/>
      <c r="AM76" s="42"/>
      <c r="AN76" s="42"/>
      <c r="AO76" s="42"/>
      <c r="AP76" s="42"/>
      <c r="AQ76" s="42"/>
      <c r="AR76" s="42"/>
      <c r="AS76" s="42"/>
      <c r="AT76" s="42"/>
      <c r="AU76" s="42"/>
      <c r="BA76" s="35"/>
    </row>
    <row r="77" spans="1:53" ht="19" customHeight="1" x14ac:dyDescent="0.35">
      <c r="B77" s="420" t="s">
        <v>584</v>
      </c>
      <c r="C77" s="421"/>
      <c r="D77" s="422">
        <f>SUM(Geschäftsreisen[[#Totals],[Scope 3 Ergebnis Nicht-CO2 '[kg CO2e']]],Pendeln_Mitarbeitende[[#Totals],[Scope 3 Ergebnis Nicht-CO2 '[kg CO2e']]],Externe[[#Totals],[Scope 3 Ergebnis Nicht-CO2 '[kg CO2e']]],Warentransporte[[#Totals],[Scope 3 Ergebnis Nicht-CO2 '[kg CO2e']]])/1000</f>
        <v>0</v>
      </c>
      <c r="E77" s="422">
        <f>Anreise_Besuchende[[#Totals],[Scope 3 Ergebnis Nicht-CO2 '[kg CO2e']]]/1000</f>
        <v>0</v>
      </c>
      <c r="F77" s="495">
        <f>SUM(D77:E77)</f>
        <v>0</v>
      </c>
      <c r="G77" s="519" t="s">
        <v>125</v>
      </c>
      <c r="H77" s="489" t="s">
        <v>125</v>
      </c>
      <c r="I77" s="42"/>
      <c r="J77" s="42"/>
      <c r="K77" s="42"/>
      <c r="L77" s="42"/>
      <c r="M77" s="42"/>
      <c r="N77" s="42"/>
      <c r="O77" s="42"/>
      <c r="P77" s="42"/>
      <c r="Q77" s="42"/>
      <c r="R77" s="42"/>
      <c r="S77" s="42"/>
      <c r="T77" s="42"/>
      <c r="AA77" s="28"/>
      <c r="AC77" s="420" t="s">
        <v>584</v>
      </c>
      <c r="AD77" s="421"/>
      <c r="AE77" s="422">
        <f>SUM(Geschäftsreisen[[#Totals],[Scope 3 Ergebnis Nicht-CO2 '[kg CO2e']]],Pendeln_Mitarbeitende[[#Totals],[Scope 3 Ergebnis Nicht-CO2 '[kg CO2e']]],Externe[[#Totals],[Scope 3 Ergebnis Nicht-CO2 '[kg CO2e']]],Warentransporte[[#Totals],[Scope 3 Ergebnis Nicht-CO2 '[kg CO2e']]])/1000</f>
        <v>0</v>
      </c>
      <c r="AF77" s="422">
        <f>Anreise_Besuchende[[#Totals],[Scope 3 Ergebnis Nicht-CO2 '[kg CO2e']]]/1000</f>
        <v>0</v>
      </c>
      <c r="AG77" s="495">
        <f>SUM($D$77:$E$77)</f>
        <v>0</v>
      </c>
      <c r="AH77" s="519" t="s">
        <v>125</v>
      </c>
      <c r="AI77" s="489" t="s">
        <v>125</v>
      </c>
      <c r="AJ77" s="42"/>
      <c r="AK77" s="42"/>
      <c r="AL77" s="42"/>
      <c r="AM77" s="42"/>
      <c r="AN77" s="42"/>
      <c r="AO77" s="42"/>
      <c r="AP77" s="42"/>
      <c r="AQ77" s="42"/>
      <c r="AR77" s="42"/>
      <c r="AS77" s="42"/>
      <c r="AT77" s="42"/>
      <c r="AU77" s="42"/>
    </row>
    <row r="78" spans="1:53" ht="6" customHeight="1" x14ac:dyDescent="0.35">
      <c r="B78" s="247"/>
      <c r="C78" s="248"/>
      <c r="D78" s="249"/>
      <c r="E78" s="249"/>
      <c r="F78" s="494"/>
      <c r="G78" s="520"/>
      <c r="H78" s="488"/>
      <c r="I78" s="42"/>
      <c r="J78" s="42"/>
      <c r="K78" s="42"/>
      <c r="L78" s="42"/>
      <c r="M78" s="42"/>
      <c r="N78" s="42"/>
      <c r="O78" s="42"/>
      <c r="P78" s="42"/>
      <c r="Q78" s="42"/>
      <c r="R78" s="42"/>
      <c r="S78" s="42"/>
      <c r="T78" s="42"/>
      <c r="AA78" s="28"/>
      <c r="AC78" s="247"/>
      <c r="AD78" s="248"/>
      <c r="AE78" s="249"/>
      <c r="AF78" s="249"/>
      <c r="AG78" s="494"/>
      <c r="AH78" s="520"/>
      <c r="AI78" s="488"/>
      <c r="AJ78" s="42"/>
      <c r="AK78" s="42"/>
      <c r="AL78" s="42"/>
      <c r="AM78" s="42"/>
      <c r="AN78" s="42"/>
      <c r="AO78" s="42"/>
      <c r="AP78" s="42"/>
      <c r="AQ78" s="42"/>
      <c r="AR78" s="42"/>
      <c r="AS78" s="42"/>
      <c r="AT78" s="42"/>
      <c r="AU78" s="42"/>
    </row>
    <row r="79" spans="1:53" ht="19" customHeight="1" x14ac:dyDescent="0.35">
      <c r="B79" s="420" t="s">
        <v>581</v>
      </c>
      <c r="C79" s="421"/>
      <c r="D79" s="422">
        <f>SUM(Wärme[[#Totals],[Scope 1 CO2 biogen '[kg CO2']]],Strom[[#Totals],[Scope 1 CO2 biogen '[kg CO2']]],Kühl_und_Kältemittel[[#Totals],[Scope 1 CO2 biogen '[kg CO2']]],Fuhrpark[[#Totals],[Scope 1 CO2 biogen '[kg CO2']]])/1000</f>
        <v>0</v>
      </c>
      <c r="E79" s="422">
        <f>0</f>
        <v>0</v>
      </c>
      <c r="F79" s="495">
        <f>SUM(D79:E79)</f>
        <v>0</v>
      </c>
      <c r="G79" s="519" t="s">
        <v>125</v>
      </c>
      <c r="H79" s="489" t="s">
        <v>125</v>
      </c>
      <c r="I79" s="42"/>
      <c r="J79" s="42"/>
      <c r="K79" s="42"/>
      <c r="L79" s="42"/>
      <c r="M79" s="42"/>
      <c r="N79" s="42"/>
      <c r="O79" s="42"/>
      <c r="P79" s="42"/>
      <c r="Q79" s="42"/>
      <c r="R79" s="42"/>
      <c r="S79" s="42"/>
      <c r="T79" s="42"/>
      <c r="AA79" s="28"/>
      <c r="AC79" s="420" t="s">
        <v>581</v>
      </c>
      <c r="AD79" s="421"/>
      <c r="AE79" s="422">
        <f>SUM(Wärme[[#Totals],[Scope 1 CO2 biogen '[kg CO2']]],Strom[[#Totals],[Scope 1 CO2 biogen '[kg CO2']]],Kühl_und_Kältemittel[[#Totals],[Scope 1 CO2 biogen '[kg CO2']]],Fuhrpark[[#Totals],[Scope 1 CO2 biogen '[kg CO2']]])/1000</f>
        <v>0</v>
      </c>
      <c r="AF79" s="422">
        <f>0</f>
        <v>0</v>
      </c>
      <c r="AG79" s="495">
        <f>SUM($D$79:$E$79)</f>
        <v>0</v>
      </c>
      <c r="AH79" s="519" t="s">
        <v>125</v>
      </c>
      <c r="AI79" s="489" t="s">
        <v>125</v>
      </c>
      <c r="AJ79" s="42"/>
      <c r="AK79" s="42"/>
      <c r="AL79" s="42"/>
      <c r="AM79" s="42"/>
      <c r="AN79" s="42"/>
      <c r="AO79" s="42"/>
      <c r="AP79" s="42"/>
      <c r="AQ79" s="42"/>
      <c r="AR79" s="42"/>
      <c r="AS79" s="42"/>
      <c r="AT79" s="42"/>
      <c r="AU79" s="42"/>
    </row>
    <row r="80" spans="1:53" ht="24" customHeight="1" x14ac:dyDescent="0.35">
      <c r="A80" s="34"/>
      <c r="G80" s="8"/>
      <c r="O80" s="42"/>
      <c r="P80" s="42"/>
      <c r="Q80" s="42"/>
      <c r="R80" s="42"/>
      <c r="S80" s="42"/>
      <c r="T80" s="42"/>
      <c r="Z80" s="35"/>
      <c r="AA80" s="28"/>
      <c r="AB80" s="34"/>
      <c r="AC80" s="451"/>
      <c r="AD80" s="10"/>
      <c r="AH80" s="42"/>
      <c r="AI80" s="42"/>
      <c r="AJ80" s="42"/>
      <c r="AK80" s="42"/>
      <c r="AL80" s="42"/>
      <c r="AM80" s="42"/>
      <c r="AN80" s="42"/>
      <c r="AO80" s="42"/>
      <c r="AP80" s="42"/>
      <c r="AQ80" s="42"/>
      <c r="AR80" s="42"/>
      <c r="AS80" s="42"/>
      <c r="AT80" s="42"/>
      <c r="AU80" s="42"/>
      <c r="BA80" s="35"/>
    </row>
    <row r="81" spans="1:53" ht="24" customHeight="1" x14ac:dyDescent="0.35">
      <c r="A81" s="34"/>
      <c r="B81" s="257" t="s">
        <v>605</v>
      </c>
      <c r="G81" s="8"/>
      <c r="O81" s="42"/>
      <c r="P81" s="42"/>
      <c r="Q81" s="42"/>
      <c r="R81" s="42"/>
      <c r="S81" s="42"/>
      <c r="T81" s="42"/>
      <c r="Z81" s="35"/>
      <c r="AA81" s="28"/>
      <c r="AB81" s="34"/>
      <c r="AC81" s="257" t="s">
        <v>605</v>
      </c>
      <c r="AD81" s="10"/>
      <c r="AH81" s="42"/>
      <c r="AI81" s="42"/>
      <c r="AJ81" s="42"/>
      <c r="AK81" s="42"/>
      <c r="AL81" s="42"/>
      <c r="AM81" s="42"/>
      <c r="AN81" s="42"/>
      <c r="AO81" s="42"/>
      <c r="AP81" s="42"/>
      <c r="AQ81" s="42"/>
      <c r="AR81" s="42"/>
      <c r="AS81" s="42"/>
      <c r="AT81" s="42"/>
      <c r="AU81" s="42"/>
      <c r="BA81" s="35"/>
    </row>
    <row r="82" spans="1:53" ht="15" customHeight="1" x14ac:dyDescent="0.35">
      <c r="A82" s="34"/>
      <c r="B82" s="661" t="s">
        <v>256</v>
      </c>
      <c r="C82" s="662"/>
      <c r="D82" s="645">
        <f>Strom[[#Totals],[Vermiedene Emissionen '[kg CO2e']]]/1000</f>
        <v>0</v>
      </c>
      <c r="E82" s="646" t="s">
        <v>257</v>
      </c>
      <c r="G82" s="8"/>
      <c r="O82" s="42"/>
      <c r="P82" s="42"/>
      <c r="Q82" s="42"/>
      <c r="R82" s="42"/>
      <c r="S82" s="42"/>
      <c r="T82" s="42"/>
      <c r="Z82" s="35"/>
      <c r="AA82" s="28"/>
      <c r="AB82" s="34"/>
      <c r="AC82" s="661" t="s">
        <v>256</v>
      </c>
      <c r="AD82" s="662"/>
      <c r="AE82" s="645">
        <f>Strom[[#Totals],[Vermiedene Emissionen '[kg CO2e']]]/1000</f>
        <v>0</v>
      </c>
      <c r="AF82" s="646" t="s">
        <v>257</v>
      </c>
      <c r="AH82" s="42"/>
      <c r="AI82" s="42"/>
      <c r="AJ82" s="42"/>
      <c r="AK82" s="42"/>
      <c r="AL82" s="42"/>
      <c r="AM82" s="42"/>
      <c r="AN82" s="42"/>
      <c r="AO82" s="42"/>
      <c r="AP82" s="42"/>
      <c r="AQ82" s="42"/>
      <c r="AR82" s="42"/>
      <c r="AS82" s="42"/>
      <c r="AT82" s="42"/>
      <c r="AU82" s="42"/>
      <c r="BA82" s="35"/>
    </row>
    <row r="83" spans="1:53" ht="15.75" customHeight="1" x14ac:dyDescent="0.35">
      <c r="A83" s="34"/>
      <c r="B83" s="663"/>
      <c r="C83" s="664"/>
      <c r="D83" s="645"/>
      <c r="E83" s="646"/>
      <c r="G83" s="8"/>
      <c r="O83" s="42"/>
      <c r="P83" s="42"/>
      <c r="Q83" s="42"/>
      <c r="R83" s="42"/>
      <c r="S83" s="42"/>
      <c r="T83" s="42"/>
      <c r="Z83" s="35"/>
      <c r="AA83" s="28"/>
      <c r="AB83" s="34"/>
      <c r="AC83" s="663"/>
      <c r="AD83" s="664"/>
      <c r="AE83" s="645"/>
      <c r="AF83" s="646"/>
      <c r="AH83" s="42"/>
      <c r="AI83" s="42"/>
      <c r="AJ83" s="42"/>
      <c r="AK83" s="42"/>
      <c r="AL83" s="42"/>
      <c r="AM83" s="42"/>
      <c r="AN83" s="42"/>
      <c r="AO83" s="42"/>
      <c r="AP83" s="42"/>
      <c r="AQ83" s="42"/>
      <c r="AR83" s="42"/>
      <c r="AS83" s="42"/>
      <c r="AT83" s="42"/>
      <c r="AU83" s="42"/>
      <c r="BA83" s="35"/>
    </row>
    <row r="84" spans="1:53" ht="26.5" customHeight="1" x14ac:dyDescent="0.35">
      <c r="A84" s="34"/>
      <c r="G84" s="8"/>
      <c r="Z84" s="35"/>
      <c r="AA84" s="28"/>
      <c r="AB84" s="34"/>
      <c r="AC84" s="15"/>
      <c r="AD84" s="10"/>
      <c r="AI84" s="8"/>
      <c r="AJ84" s="8"/>
      <c r="AK84" s="8"/>
      <c r="AL84" s="8"/>
      <c r="AM84" s="8"/>
      <c r="AN84" s="8"/>
      <c r="AO84" s="8"/>
      <c r="AP84" s="8"/>
      <c r="BA84" s="35"/>
    </row>
    <row r="85" spans="1:53" ht="1.5" customHeight="1" x14ac:dyDescent="0.35">
      <c r="A85" s="34"/>
      <c r="Z85" s="35"/>
      <c r="AA85" s="28"/>
      <c r="AB85" s="34"/>
      <c r="AC85" s="15"/>
      <c r="AD85" s="10"/>
      <c r="AI85" s="8"/>
      <c r="AJ85" s="8"/>
      <c r="AK85" s="8"/>
      <c r="AL85" s="8"/>
      <c r="AM85" s="8"/>
      <c r="AN85" s="8"/>
      <c r="AO85" s="8"/>
      <c r="AP85" s="8"/>
      <c r="BA85" s="35"/>
    </row>
    <row r="86" spans="1:53" ht="1.5" customHeight="1" x14ac:dyDescent="0.35">
      <c r="A86" s="34"/>
      <c r="Z86" s="35"/>
      <c r="AA86" s="28"/>
      <c r="AB86" s="34"/>
      <c r="AC86" s="15"/>
      <c r="AD86" s="10"/>
      <c r="AI86" s="8"/>
      <c r="AJ86" s="8"/>
      <c r="AK86" s="8"/>
      <c r="AL86" s="8"/>
      <c r="AM86" s="8"/>
      <c r="AN86" s="8"/>
      <c r="AO86" s="8"/>
      <c r="AP86" s="8"/>
      <c r="BA86" s="35"/>
    </row>
    <row r="87" spans="1:53" ht="1.5" customHeight="1" x14ac:dyDescent="0.35">
      <c r="A87" s="34"/>
      <c r="Z87" s="35"/>
      <c r="AA87" s="28"/>
      <c r="AB87" s="34"/>
      <c r="AC87" s="15"/>
      <c r="AD87" s="10"/>
      <c r="AI87" s="8"/>
      <c r="AJ87" s="8"/>
      <c r="AK87" s="8"/>
      <c r="AL87" s="8"/>
      <c r="AM87" s="8"/>
      <c r="AN87" s="8"/>
      <c r="AO87" s="8"/>
      <c r="AP87" s="8"/>
      <c r="BA87" s="35"/>
    </row>
    <row r="88" spans="1:53" ht="1.5" customHeight="1" thickBot="1" x14ac:dyDescent="0.4">
      <c r="A88" s="43"/>
      <c r="B88" s="222"/>
      <c r="C88" s="45"/>
      <c r="D88" s="46"/>
      <c r="E88" s="46"/>
      <c r="F88" s="46"/>
      <c r="G88" s="46"/>
      <c r="H88" s="47"/>
      <c r="I88" s="47"/>
      <c r="J88" s="47"/>
      <c r="K88" s="47"/>
      <c r="L88" s="47"/>
      <c r="M88" s="47"/>
      <c r="N88" s="47"/>
      <c r="O88" s="47"/>
      <c r="P88" s="47"/>
      <c r="Q88" s="47"/>
      <c r="R88" s="47"/>
      <c r="S88" s="47"/>
      <c r="T88" s="47"/>
      <c r="U88" s="47"/>
      <c r="V88" s="47"/>
      <c r="W88" s="46"/>
      <c r="X88" s="46"/>
      <c r="Y88" s="46"/>
      <c r="Z88" s="48"/>
      <c r="AA88" s="425"/>
      <c r="AB88" s="43"/>
      <c r="AC88" s="222"/>
      <c r="AD88" s="45"/>
      <c r="AE88" s="46"/>
      <c r="AF88" s="46"/>
      <c r="AG88" s="46"/>
      <c r="AH88" s="46"/>
      <c r="AI88" s="47"/>
      <c r="AJ88" s="47"/>
      <c r="AK88" s="47"/>
      <c r="AL88" s="47"/>
      <c r="AM88" s="47"/>
      <c r="AN88" s="47"/>
      <c r="AO88" s="47"/>
      <c r="AP88" s="47"/>
      <c r="AQ88" s="47"/>
      <c r="AR88" s="47"/>
      <c r="AS88" s="47"/>
      <c r="AT88" s="47"/>
      <c r="AU88" s="47"/>
      <c r="AV88" s="47"/>
      <c r="AW88" s="47"/>
      <c r="AX88" s="46"/>
      <c r="AY88" s="46"/>
      <c r="AZ88" s="46"/>
      <c r="BA88" s="48"/>
    </row>
    <row r="89" spans="1:53" ht="24" customHeight="1" x14ac:dyDescent="0.35">
      <c r="A89" s="34"/>
      <c r="B89" s="211" t="s">
        <v>448</v>
      </c>
      <c r="Z89" s="35"/>
      <c r="AA89" s="28"/>
      <c r="AB89" s="34"/>
      <c r="AC89" s="211" t="s">
        <v>448</v>
      </c>
      <c r="AD89" s="10"/>
      <c r="AI89" s="8"/>
      <c r="AJ89" s="8"/>
      <c r="AK89" s="8"/>
      <c r="AL89" s="8"/>
      <c r="AM89" s="8"/>
      <c r="AN89" s="8"/>
      <c r="AO89" s="8"/>
      <c r="AP89" s="8"/>
      <c r="BA89" s="35"/>
    </row>
    <row r="90" spans="1:53" x14ac:dyDescent="0.35">
      <c r="A90" s="34"/>
      <c r="B90" s="356" t="s">
        <v>595</v>
      </c>
      <c r="Z90" s="35"/>
      <c r="AA90" s="28"/>
      <c r="AB90" s="34"/>
      <c r="AC90" s="356" t="s">
        <v>596</v>
      </c>
      <c r="AD90" s="447"/>
      <c r="AI90" s="8"/>
      <c r="AJ90" s="8"/>
      <c r="AK90" s="8"/>
      <c r="AL90" s="8"/>
      <c r="AM90" s="8"/>
      <c r="AN90" s="8"/>
      <c r="AO90" s="8"/>
      <c r="AP90" s="8"/>
      <c r="BA90" s="35"/>
    </row>
    <row r="91" spans="1:53" s="9" customFormat="1" ht="20" customHeight="1" x14ac:dyDescent="0.35">
      <c r="A91" s="37"/>
      <c r="C91" s="419"/>
      <c r="D91" s="654" t="s">
        <v>241</v>
      </c>
      <c r="E91" s="655"/>
      <c r="F91" s="656" t="s">
        <v>242</v>
      </c>
      <c r="G91" s="655"/>
      <c r="H91" s="39"/>
      <c r="I91" s="39"/>
      <c r="J91" s="39"/>
      <c r="K91" s="39"/>
      <c r="L91" s="39"/>
      <c r="M91" s="39"/>
      <c r="N91" s="39"/>
      <c r="O91" s="39"/>
      <c r="Z91" s="40"/>
      <c r="AA91" s="426"/>
      <c r="AB91" s="37"/>
      <c r="AD91" s="450"/>
      <c r="AE91" s="654" t="s">
        <v>241</v>
      </c>
      <c r="AF91" s="655"/>
      <c r="AG91" s="656" t="s">
        <v>242</v>
      </c>
      <c r="AH91" s="655"/>
      <c r="AI91" s="39"/>
      <c r="AJ91" s="39"/>
      <c r="AK91" s="39"/>
      <c r="AL91" s="39"/>
      <c r="AM91" s="39"/>
      <c r="AN91" s="39"/>
      <c r="AO91" s="39"/>
      <c r="AP91" s="39"/>
      <c r="BA91" s="40"/>
    </row>
    <row r="92" spans="1:53" s="1" customFormat="1" ht="31" x14ac:dyDescent="0.35">
      <c r="A92" s="413"/>
      <c r="B92" s="10"/>
      <c r="C92" s="416" t="s">
        <v>449</v>
      </c>
      <c r="D92" s="328" t="s">
        <v>451</v>
      </c>
      <c r="E92" s="328" t="s">
        <v>589</v>
      </c>
      <c r="F92" s="328" t="s">
        <v>452</v>
      </c>
      <c r="G92" s="328" t="s">
        <v>589</v>
      </c>
      <c r="H92" s="414"/>
      <c r="I92" s="414"/>
      <c r="J92" s="414"/>
      <c r="K92" s="414"/>
      <c r="L92" s="414"/>
      <c r="M92" s="414"/>
      <c r="N92" s="414"/>
      <c r="O92" s="414"/>
      <c r="Z92" s="415"/>
      <c r="AA92" s="427"/>
      <c r="AB92" s="413"/>
      <c r="AC92" s="10"/>
      <c r="AD92" s="416" t="s">
        <v>449</v>
      </c>
      <c r="AE92" s="328" t="s">
        <v>451</v>
      </c>
      <c r="AF92" s="328" t="s">
        <v>589</v>
      </c>
      <c r="AG92" s="328" t="s">
        <v>452</v>
      </c>
      <c r="AH92" s="328" t="s">
        <v>589</v>
      </c>
      <c r="AI92" s="414"/>
      <c r="AJ92" s="414"/>
      <c r="AK92" s="414"/>
      <c r="AL92" s="414"/>
      <c r="AM92" s="414"/>
      <c r="AN92" s="414"/>
      <c r="AO92" s="414"/>
      <c r="AP92" s="414"/>
      <c r="BA92" s="415"/>
    </row>
    <row r="93" spans="1:53" ht="16.5" customHeight="1" x14ac:dyDescent="0.35">
      <c r="A93" s="34"/>
      <c r="C93" s="417" t="s">
        <v>590</v>
      </c>
      <c r="D93" s="344">
        <f>SUM(Wärme[[#Totals],[Scope 1 CO2 '[kg CO2']]],Strom[[#Totals],[Scope 1 CO2 '[kg CO2']]],Kühl_und_Kältemittel[[#Totals],[Scope 1 CO2 '[kg CO2']]],Fuhrpark[[#Totals],[Scope 1 CO2 '[kg CO2']]])/1000</f>
        <v>0</v>
      </c>
      <c r="E93" s="344">
        <f>SUM(Wärme[[#Totals],[Scope 1 CO2 '[kg CO2e']]],Strom[[#Totals],[Scope 1 CO2 '[kg CO2e']]],Kühl_und_Kältemittel[[#Totals],[Scope 1 CO2 '[kg CO2e']]],Fuhrpark[[#Totals],[Scope 1 CO2 '[kg CO2e']]])/1000</f>
        <v>0</v>
      </c>
      <c r="F93" s="344">
        <f>SUM(Wärme[[#Totals],[Scope 2 CO2 '[kg CO2']]],Strom[[#Totals],[Scope 2 CO2 '[kg CO2']]],Kühl_und_Kältemittel[[#Totals],[Scope 2 CO2 '[kg CO2']]],Fuhrpark[[#Totals],[Scope 2 CO2 '[kg CO2']]])/1000</f>
        <v>0</v>
      </c>
      <c r="G93" s="344">
        <f>SUM(Wärme[[#Totals],[Scope 2 CO2 '[kg CO2e']]],Strom[[#Totals],[Scope 2 CO2 '[kg CO2e']]],Kühl_und_Kältemittel[[#Totals],[Scope 2 CO2 '[kg CO2e']]],Fuhrpark[[#Totals],[Scope 2 CO2 '[kg CO2e']]])/1000</f>
        <v>0</v>
      </c>
      <c r="Z93" s="35"/>
      <c r="AA93" s="28"/>
      <c r="AB93" s="34"/>
      <c r="AC93" s="15"/>
      <c r="AD93" s="417" t="s">
        <v>590</v>
      </c>
      <c r="AE93" s="344">
        <f>SUM(Wärme[[#Totals],[Scope 1 CO2 '[kg CO2']]],Strom[[#Totals],[Scope 1 CO2 '[kg CO2']]],Kühl_und_Kältemittel[[#Totals],[Scope 1 CO2 '[kg CO2']]],Fuhrpark[[#Totals],[Scope 1 CO2 '[kg CO2']]])/1000</f>
        <v>0</v>
      </c>
      <c r="AF93" s="344">
        <f>SUM(Wärme[[#Totals],[Scope 1 CO2 '[kg CO2e']]],Strom[[#Totals],[Scope 1 CO2 '[kg CO2e']]],Kühl_und_Kältemittel[[#Totals],[Scope 1 CO2 '[kg CO2e']]],Fuhrpark[[#Totals],[Scope 1 CO2 '[kg CO2e']]])/1000</f>
        <v>0</v>
      </c>
      <c r="AG93" s="344">
        <f>SUM(Wärme[[#Totals],[Scope 2 CO2 '[kg CO2']]],Strom[[#Totals],[Scope 2 CO2 '[kg CO2']]],Kühl_und_Kältemittel[[#Totals],[Scope 2 CO2 '[kg CO2']]],Fuhrpark[[#Totals],[Scope 2 CO2 '[kg CO2']]])/1000</f>
        <v>0</v>
      </c>
      <c r="AH93" s="344">
        <f>SUM(Wärme[[#Totals],[Scope 2 CO2 '[kg CO2e']]],Strom[[#Totals],[Scope 2 CO2 '[kg CO2e']]],Kühl_und_Kältemittel[[#Totals],[Scope 2 CO2 '[kg CO2e']]],Fuhrpark[[#Totals],[Scope 2 CO2 '[kg CO2e']]])/1000</f>
        <v>0</v>
      </c>
      <c r="AI93" s="8"/>
      <c r="AJ93" s="8"/>
      <c r="AK93" s="8"/>
      <c r="AL93" s="8"/>
      <c r="AM93" s="8"/>
      <c r="AN93" s="8"/>
      <c r="AO93" s="8"/>
      <c r="AP93" s="8"/>
      <c r="BA93" s="35"/>
    </row>
    <row r="94" spans="1:53" ht="16.5" customHeight="1" x14ac:dyDescent="0.35">
      <c r="A94" s="34"/>
      <c r="C94" s="417" t="s">
        <v>591</v>
      </c>
      <c r="D94" s="344">
        <f>SUM(Wärme[[#Totals],[Scope 1 CH4 '[kg CH4']]],Strom[[#Totals],[Scope 1 CH4 '[kg CH4']]],Kühl_und_Kältemittel[[#Totals],[Scope 1 CH4 '[kg CH4']]],Fuhrpark[[#Totals],[Scope 1 CH4 '[kg CH4']]])/1000</f>
        <v>0</v>
      </c>
      <c r="E94" s="344">
        <f>SUM(Wärme[[#Totals],[Scope 1 CH4 '[kg CO2e']]],Strom[[#Totals],[Scope 1 CH4 '[kg CO2e']]],Kühl_und_Kältemittel[[#Totals],[Scope 1 CH4 '[kg CO2e']]],Fuhrpark[[#Totals],[Scope 1 CH4 '[kg CO2e']]])/1000</f>
        <v>0</v>
      </c>
      <c r="F94" s="344">
        <f>SUM(Wärme[[#Totals],[Scope 2 CH4 '[kg CH4']]],Strom[[#Totals],[Scope 2 CH4 '[kg CH4']]],Kühl_und_Kältemittel[[#Totals],[Scope 2 CH4 '[kg CH4']]],Fuhrpark[[#Totals],[Scope 2 CH4 '[kg CH4']]])/1000</f>
        <v>0</v>
      </c>
      <c r="G94" s="344">
        <f>SUM(Wärme[[#Totals],[Scope 2 CH4 '[kg CO2e']]],Strom[[#Totals],[Scope 2 CH4 '[kg CO2e']]],Kühl_und_Kältemittel[[#Totals],[Scope 2 CH4 '[kg CO2e']]],Fuhrpark[[#Totals],[Scope 2 CH4 '[kg CO2e']]])/1000</f>
        <v>0</v>
      </c>
      <c r="Z94" s="35"/>
      <c r="AA94" s="28"/>
      <c r="AB94" s="34"/>
      <c r="AC94" s="15"/>
      <c r="AD94" s="417" t="s">
        <v>591</v>
      </c>
      <c r="AE94" s="344">
        <f>SUM(Wärme[[#Totals],[Scope 1 CH4 '[kg CH4']]],Strom[[#Totals],[Scope 1 CH4 '[kg CH4']]],Kühl_und_Kältemittel[[#Totals],[Scope 1 CH4 '[kg CH4']]],Fuhrpark[[#Totals],[Scope 1 CH4 '[kg CH4']]])/1000</f>
        <v>0</v>
      </c>
      <c r="AF94" s="344">
        <f>SUM(Wärme[[#Totals],[Scope 1 CH4 '[kg CO2e']]],Strom[[#Totals],[Scope 1 CH4 '[kg CO2e']]],Kühl_und_Kältemittel[[#Totals],[Scope 1 CH4 '[kg CO2e']]],Fuhrpark[[#Totals],[Scope 1 CH4 '[kg CO2e']]])/1000</f>
        <v>0</v>
      </c>
      <c r="AG94" s="344">
        <f>SUM(Wärme[[#Totals],[Scope 2 CH4 '[kg CH4']]],Strom[[#Totals],[Scope 2 CH4 '[kg CH4']]],Kühl_und_Kältemittel[[#Totals],[Scope 2 CH4 '[kg CH4']]],Fuhrpark[[#Totals],[Scope 2 CH4 '[kg CH4']]])/1000</f>
        <v>0</v>
      </c>
      <c r="AH94" s="344">
        <f>SUM(Wärme[[#Totals],[Scope 2 CH4 '[kg CO2e']]],Strom[[#Totals],[Scope 2 CH4 '[kg CO2e']]],Kühl_und_Kältemittel[[#Totals],[Scope 2 CH4 '[kg CO2e']]],Fuhrpark[[#Totals],[Scope 2 CH4 '[kg CO2e']]])/1000</f>
        <v>0</v>
      </c>
      <c r="AI94" s="8"/>
      <c r="AJ94" s="8"/>
      <c r="AK94" s="8"/>
      <c r="AL94" s="8"/>
      <c r="AM94" s="8"/>
      <c r="AN94" s="8"/>
      <c r="AO94" s="8"/>
      <c r="AP94" s="8"/>
      <c r="BA94" s="35"/>
    </row>
    <row r="95" spans="1:53" ht="16.5" customHeight="1" x14ac:dyDescent="0.35">
      <c r="A95" s="34"/>
      <c r="C95" s="417" t="s">
        <v>592</v>
      </c>
      <c r="D95" s="344">
        <f>SUM(Wärme[[#Totals],[Scope 1 N2O '[kg N2O']]],Strom[[#Totals],[Scope 1 N2O '[kg N2O']]],Kühl_und_Kältemittel[[#Totals],[Scope 1 N2O '[kg N2O']]],Fuhrpark[[#Totals],[Scope 1 N2O '[kg N2O']]])/1000</f>
        <v>0</v>
      </c>
      <c r="E95" s="344">
        <f>SUM(Wärme[[#Totals],[Scope 1 N2O '[kg CO2e']]],Strom[[#Totals],[Scope 1 N2O '[kg CO2e']]],Kühl_und_Kältemittel[[#Totals],[Scope 1 N2O '[kg CO2e']]],Fuhrpark[[#Totals],[Scope 1 N2O '[kg CO2e']]])/1000</f>
        <v>0</v>
      </c>
      <c r="F95" s="344">
        <f>SUM(Wärme[[#Totals],[Scope 2 N2O '[kg N2O']]],Strom[[#Totals],[Scope 2 N2O '[kg N2O']]],Kühl_und_Kältemittel[[#Totals],[Scope 2 N2O '[kg N2O']]],Fuhrpark[[#Totals],[Scope 2 N2O '[kg N2O']]])/1000</f>
        <v>0</v>
      </c>
      <c r="G95" s="344">
        <f>SUM(Wärme[[#Totals],[Scope 2 N2O '[kg CO2e']]],Strom[[#Totals],[Scope 2 N2O '[kg CO2e']]],Kühl_und_Kältemittel[[#Totals],[Scope 2 N2O '[kg CO2e']]],Fuhrpark[[#Totals],[Scope 2 N2O '[kg CO2e']]])/1000</f>
        <v>0</v>
      </c>
      <c r="Z95" s="35"/>
      <c r="AA95" s="28"/>
      <c r="AB95" s="34"/>
      <c r="AC95" s="15"/>
      <c r="AD95" s="417" t="s">
        <v>592</v>
      </c>
      <c r="AE95" s="344">
        <f>SUM(Wärme[[#Totals],[Scope 1 N2O '[kg N2O']]],Strom[[#Totals],[Scope 1 N2O '[kg N2O']]],Kühl_und_Kältemittel[[#Totals],[Scope 1 N2O '[kg N2O']]],Fuhrpark[[#Totals],[Scope 1 N2O '[kg N2O']]])/1000</f>
        <v>0</v>
      </c>
      <c r="AF95" s="344">
        <f>SUM(Wärme[[#Totals],[Scope 1 N2O '[kg CO2e']]],Strom[[#Totals],[Scope 1 N2O '[kg CO2e']]],Kühl_und_Kältemittel[[#Totals],[Scope 1 N2O '[kg CO2e']]],Fuhrpark[[#Totals],[Scope 1 N2O '[kg CO2e']]])/1000</f>
        <v>0</v>
      </c>
      <c r="AG95" s="344">
        <f>SUM(Wärme[[#Totals],[Scope 2 N2O '[kg N2O']]],Strom[[#Totals],[Scope 2 N2O '[kg N2O']]],Kühl_und_Kältemittel[[#Totals],[Scope 2 N2O '[kg N2O']]],Fuhrpark[[#Totals],[Scope 2 N2O '[kg N2O']]])/1000</f>
        <v>0</v>
      </c>
      <c r="AH95" s="344">
        <f>SUM(Wärme[[#Totals],[Scope 2 N2O '[kg CO2e']]],Strom[[#Totals],[Scope 2 N2O '[kg CO2e']]],Kühl_und_Kältemittel[[#Totals],[Scope 2 N2O '[kg CO2e']]],Fuhrpark[[#Totals],[Scope 2 N2O '[kg CO2e']]])/1000</f>
        <v>0</v>
      </c>
      <c r="AI95" s="8"/>
      <c r="AJ95" s="8"/>
      <c r="AK95" s="8"/>
      <c r="AL95" s="8"/>
      <c r="AM95" s="8"/>
      <c r="AN95" s="8"/>
      <c r="AO95" s="8"/>
      <c r="AP95" s="8"/>
      <c r="BA95" s="35"/>
    </row>
    <row r="96" spans="1:53" ht="16.5" customHeight="1" x14ac:dyDescent="0.35">
      <c r="A96" s="34"/>
      <c r="C96" s="418" t="s">
        <v>442</v>
      </c>
      <c r="D96" s="344">
        <f>SUM(Wärme[[#Totals],[Scope 1 HFCs '[kg HFCs']]],Strom[[#Totals],[Scope 1 HFCs '[kg HFCs']]],Kühl_und_Kältemittel[[#Totals],[Scope 1 HFCs '[kg HFCs']]],Fuhrpark[[#Totals],[Scope 1 HFCs '[kg HFCs']]])/1000</f>
        <v>0</v>
      </c>
      <c r="E96" s="344">
        <f>SUM(Wärme[[#Totals],[Scope 1 HFCs '[kg CO2e']]],Strom[[#Totals],[Scope 1 HFCs '[kg CO2e']]],Kühl_und_Kältemittel[[#Totals],[Scope 1 HFCs '[kg CO2e']]],Fuhrpark[[#Totals],[Scope 1 HFCs '[kg CO2e']]])/1000</f>
        <v>0</v>
      </c>
      <c r="F96" s="344">
        <f>SUM(Wärme[[#Totals],[Scope 2 HFCs '[kg HFCs']]],Strom[[#Totals],[Scope 2 HFCs '[kg HFCs']]],Kühl_und_Kältemittel[[#Totals],[Scope 2 HFCs '[kg HFCs']]],Fuhrpark[[#Totals],[Scope 2 HFCs '[kg HFCs']]])/1000</f>
        <v>0</v>
      </c>
      <c r="G96" s="344">
        <f>SUM(Wärme[[#Totals],[Scope 2 HFCs '[kg CO2e']]],Strom[[#Totals],[Scope 2 HFCs '[kg CO2e']]],Kühl_und_Kältemittel[[#Totals],[Scope 2 HFCs '[kg CO2e']]],Fuhrpark[[#Totals],[Scope 2 HFCs '[kg CO2e']]])/1000</f>
        <v>0</v>
      </c>
      <c r="Z96" s="35"/>
      <c r="AA96" s="28"/>
      <c r="AB96" s="34"/>
      <c r="AC96" s="15"/>
      <c r="AD96" s="418" t="s">
        <v>442</v>
      </c>
      <c r="AE96" s="344">
        <f>SUM(Wärme[[#Totals],[Scope 1 HFCs '[kg HFCs']]],Strom[[#Totals],[Scope 1 HFCs '[kg HFCs']]],Kühl_und_Kältemittel[[#Totals],[Scope 1 HFCs '[kg HFCs']]],Fuhrpark[[#Totals],[Scope 1 HFCs '[kg HFCs']]])/1000</f>
        <v>0</v>
      </c>
      <c r="AF96" s="344">
        <f>SUM(Wärme[[#Totals],[Scope 1 HFCs '[kg CO2e']]],Strom[[#Totals],[Scope 1 HFCs '[kg CO2e']]],Kühl_und_Kältemittel[[#Totals],[Scope 1 HFCs '[kg CO2e']]],Fuhrpark[[#Totals],[Scope 1 HFCs '[kg CO2e']]])/1000</f>
        <v>0</v>
      </c>
      <c r="AG96" s="344">
        <f>SUM(Wärme[[#Totals],[Scope 2 HFCs '[kg HFCs']]],Strom[[#Totals],[Scope 2 HFCs '[kg HFCs']]],Kühl_und_Kältemittel[[#Totals],[Scope 2 HFCs '[kg HFCs']]],Fuhrpark[[#Totals],[Scope 2 HFCs '[kg HFCs']]])/1000</f>
        <v>0</v>
      </c>
      <c r="AH96" s="344">
        <f>SUM(Wärme[[#Totals],[Scope 2 HFCs '[kg CO2e']]],Strom[[#Totals],[Scope 2 HFCs '[kg CO2e']]],Kühl_und_Kältemittel[[#Totals],[Scope 2 HFCs '[kg CO2e']]],Fuhrpark[[#Totals],[Scope 2 HFCs '[kg CO2e']]])/1000</f>
        <v>0</v>
      </c>
      <c r="AI96" s="8"/>
      <c r="AJ96" s="8"/>
      <c r="AK96" s="8"/>
      <c r="AL96" s="8"/>
      <c r="AM96" s="8"/>
      <c r="AN96" s="8"/>
      <c r="AO96" s="8"/>
      <c r="AP96" s="8"/>
      <c r="BA96" s="35"/>
    </row>
    <row r="97" spans="1:53" ht="16.5" customHeight="1" x14ac:dyDescent="0.35">
      <c r="A97" s="34"/>
      <c r="C97" s="417" t="s">
        <v>443</v>
      </c>
      <c r="D97" s="344">
        <f>SUM(Wärme[[#Totals],[Scope 1 PFCs '[kg PFCs']]],Strom[[#Totals],[Scope 1 PFCs '[kg PFCs']]],Kühl_und_Kältemittel[[#Totals],[Scope 1 PFCs '[kg PFCs']]],Fuhrpark[[#Totals],[Scope 1 PFCs '[kg PFCs']]])/1000</f>
        <v>0</v>
      </c>
      <c r="E97" s="344">
        <f>SUM(Wärme[[#Totals],[Scope 1 PFCs '[kg CO2e']]],Strom[[#Totals],[Scope 1 PFCs '[kg CO2e']]],Kühl_und_Kältemittel[[#Totals],[Scope 1 PFCs '[kg CO2e']]],Fuhrpark[[#Totals],[Scope 1 PFCs '[kg CO2e']]])/1000</f>
        <v>0</v>
      </c>
      <c r="F97" s="344">
        <f>SUM(Wärme[[#Totals],[Scope 2 PFCs '[kg PFCs']]],Strom[[#Totals],[Scope 2 PFCs '[kg PFCs']]],Kühl_und_Kältemittel[[#Totals],[Scope 2 PFCs '[kg PFCs']]],Fuhrpark[[#Totals],[Scope 2 PFCs '[kg PFCs']]])/1000</f>
        <v>0</v>
      </c>
      <c r="G97" s="344">
        <f>SUM(Wärme[[#Totals],[Scope 2 PFCs '[kg CO2e']]],Strom[[#Totals],[Scope 2 PFCs '[kg CO2e']]],Kühl_und_Kältemittel[[#Totals],[Scope 2 PFCs '[kg CO2e']]],Fuhrpark[[#Totals],[Scope 2 PFCs '[kg CO2e']]])/1000</f>
        <v>0</v>
      </c>
      <c r="Z97" s="35"/>
      <c r="AA97" s="28"/>
      <c r="AB97" s="34"/>
      <c r="AC97" s="15"/>
      <c r="AD97" s="417" t="s">
        <v>443</v>
      </c>
      <c r="AE97" s="344">
        <f>SUM(Wärme[[#Totals],[Scope 1 PFCs '[kg PFCs']]],Strom[[#Totals],[Scope 1 PFCs '[kg PFCs']]],Kühl_und_Kältemittel[[#Totals],[Scope 1 PFCs '[kg PFCs']]],Fuhrpark[[#Totals],[Scope 1 PFCs '[kg PFCs']]])/1000</f>
        <v>0</v>
      </c>
      <c r="AF97" s="344">
        <f>SUM(Wärme[[#Totals],[Scope 1 PFCs '[kg CO2e']]],Strom[[#Totals],[Scope 1 PFCs '[kg CO2e']]],Kühl_und_Kältemittel[[#Totals],[Scope 1 PFCs '[kg CO2e']]],Fuhrpark[[#Totals],[Scope 1 PFCs '[kg CO2e']]])/1000</f>
        <v>0</v>
      </c>
      <c r="AG97" s="344">
        <f>SUM(Wärme[[#Totals],[Scope 2 PFCs '[kg PFCs']]],Strom[[#Totals],[Scope 2 PFCs '[kg PFCs']]],Kühl_und_Kältemittel[[#Totals],[Scope 2 PFCs '[kg PFCs']]],Fuhrpark[[#Totals],[Scope 2 PFCs '[kg PFCs']]])/1000</f>
        <v>0</v>
      </c>
      <c r="AH97" s="344">
        <f>SUM(Wärme[[#Totals],[Scope 2 PFCs '[kg CO2e']]],Strom[[#Totals],[Scope 2 PFCs '[kg CO2e']]],Kühl_und_Kältemittel[[#Totals],[Scope 2 PFCs '[kg CO2e']]],Fuhrpark[[#Totals],[Scope 2 PFCs '[kg CO2e']]])/1000</f>
        <v>0</v>
      </c>
      <c r="AI97" s="8"/>
      <c r="AJ97" s="8"/>
      <c r="AK97" s="8"/>
      <c r="AL97" s="8"/>
      <c r="AM97" s="8"/>
      <c r="AN97" s="8"/>
      <c r="AO97" s="8"/>
      <c r="AP97" s="8"/>
      <c r="BA97" s="35"/>
    </row>
    <row r="98" spans="1:53" ht="16.5" customHeight="1" x14ac:dyDescent="0.35">
      <c r="A98" s="34"/>
      <c r="C98" s="417" t="s">
        <v>593</v>
      </c>
      <c r="D98" s="344">
        <f>SUM(Wärme[[#Totals],[Scope 1 SF6 '[kg SF6']]],Strom[[#Totals],[Scope 1 SF6 '[kg SF6']]],Kühl_und_Kältemittel[[#Totals],[Scope 1 SF6 '[kg SF6']]],Fuhrpark[[#Totals],[Scope 1 SF6 '[kg SF6']]])/1000</f>
        <v>0</v>
      </c>
      <c r="E98" s="344">
        <f>SUM(Wärme[[#Totals],[Scope 1 SF6 '[kg CO2e']]],Strom[[#Totals],[Scope 1 SF6 '[kg CO2e']]],Kühl_und_Kältemittel[[#Totals],[Scope 1 SF6 '[kg CO2e']]],Fuhrpark[[#Totals],[Scope 1 SF6 '[kg CO2e']]])/1000</f>
        <v>0</v>
      </c>
      <c r="F98" s="344">
        <f>SUM(Wärme[[#Totals],[Scope 2 SF6 '[kg SF6']]],Strom[[#Totals],[Scope 2 SF6 '[kg SF6']]],Kühl_und_Kältemittel[[#Totals],[Scope 2 SF6 '[kg SF6']]],Fuhrpark[[#Totals],[Scope 2 SF6 '[kg SF6']]])/1000</f>
        <v>0</v>
      </c>
      <c r="G98" s="344">
        <f>SUM(Wärme[[#Totals],[Scope 2 SF6 '[kg CO2e']]],Strom[[#Totals],[Scope 2 SF6 '[kg CO2e']]],Kühl_und_Kältemittel[[#Totals],[Scope 2 SF6 '[kg CO2e']]],Fuhrpark[[#Totals],[Scope 2 SF6 '[kg CO2e']]])/1000</f>
        <v>0</v>
      </c>
      <c r="Z98" s="35"/>
      <c r="AA98" s="28"/>
      <c r="AB98" s="34"/>
      <c r="AC98" s="15"/>
      <c r="AD98" s="417" t="s">
        <v>593</v>
      </c>
      <c r="AE98" s="344">
        <f>SUM(Wärme[[#Totals],[Scope 1 SF6 '[kg SF6']]],Strom[[#Totals],[Scope 1 SF6 '[kg SF6']]],Kühl_und_Kältemittel[[#Totals],[Scope 1 SF6 '[kg SF6']]],Fuhrpark[[#Totals],[Scope 1 SF6 '[kg SF6']]])/1000</f>
        <v>0</v>
      </c>
      <c r="AF98" s="344">
        <f>SUM(Wärme[[#Totals],[Scope 1 SF6 '[kg CO2e']]],Strom[[#Totals],[Scope 1 SF6 '[kg CO2e']]],Kühl_und_Kältemittel[[#Totals],[Scope 1 SF6 '[kg CO2e']]],Fuhrpark[[#Totals],[Scope 1 SF6 '[kg CO2e']]])/1000</f>
        <v>0</v>
      </c>
      <c r="AG98" s="344">
        <f>SUM(Wärme[[#Totals],[Scope 2 SF6 '[kg SF6']]],Strom[[#Totals],[Scope 2 SF6 '[kg SF6']]],Kühl_und_Kältemittel[[#Totals],[Scope 2 SF6 '[kg SF6']]],Fuhrpark[[#Totals],[Scope 2 SF6 '[kg SF6']]])/1000</f>
        <v>0</v>
      </c>
      <c r="AH98" s="344">
        <f>SUM(Wärme[[#Totals],[Scope 2 SF6 '[kg CO2e']]],Strom[[#Totals],[Scope 2 SF6 '[kg CO2e']]],Kühl_und_Kältemittel[[#Totals],[Scope 2 SF6 '[kg CO2e']]],Fuhrpark[[#Totals],[Scope 2 SF6 '[kg CO2e']]])/1000</f>
        <v>0</v>
      </c>
      <c r="AI98" s="8"/>
      <c r="AJ98" s="8"/>
      <c r="AK98" s="8"/>
      <c r="AL98" s="8"/>
      <c r="AM98" s="8"/>
      <c r="AN98" s="8"/>
      <c r="AO98" s="8"/>
      <c r="AP98" s="8"/>
      <c r="BA98" s="35"/>
    </row>
    <row r="99" spans="1:53" ht="16.5" customHeight="1" x14ac:dyDescent="0.35">
      <c r="A99" s="34"/>
      <c r="C99" s="417" t="s">
        <v>594</v>
      </c>
      <c r="D99" s="344">
        <f>SUM(Wärme[[#Totals],[Scope 1 NF3 '[kg NF3']]],Strom[[#Totals],[Scope 1 NF3 '[kg NF3']]],Kühl_und_Kältemittel[[#Totals],[Scope 1 NF3 '[kg NF3']]],Fuhrpark[[#Totals],[Scope 1 NF3 '[kg NF3']]])/1000</f>
        <v>0</v>
      </c>
      <c r="E99" s="344">
        <f>SUM(Wärme[[#Totals],[Scope 1 NF3 '[kg CO2e']]],Strom[[#Totals],[Scope 1 NF3 '[kg CO2e']]],Kühl_und_Kältemittel[[#Totals],[Scope 1 NF3 '[kg CO2e']]],Fuhrpark[[#Totals],[Scope 1 NF3 '[kg CO2e']]])/1000</f>
        <v>0</v>
      </c>
      <c r="F99" s="344">
        <f>SUM(Wärme[[#Totals],[Scope 2 NF3 '[kg NF3']]],Strom[[#Totals],[Scope 2 NF3 '[kg NF3']]],Kühl_und_Kältemittel[[#Totals],[Scope 2 NF3 '[kg NF3']]],Fuhrpark[[#Totals],[Scope 2 NF3 '[kg NF3']]])/1000</f>
        <v>0</v>
      </c>
      <c r="G99" s="344">
        <f>SUM(Wärme[[#Totals],[Scope 2 NF3 '[kg CO2e']]],Strom[[#Totals],[Scope 2 NF3 '[kg CO2e']]],Kühl_und_Kältemittel[[#Totals],[Scope 2 NF3 '[kg CO2e']]],Fuhrpark[[#Totals],[Scope 2 NF3 '[kg CO2e']]])/1000</f>
        <v>0</v>
      </c>
      <c r="Z99" s="35"/>
      <c r="AA99" s="28"/>
      <c r="AB99" s="34"/>
      <c r="AC99" s="15"/>
      <c r="AD99" s="417" t="s">
        <v>594</v>
      </c>
      <c r="AE99" s="344">
        <f>SUM(Wärme[[#Totals],[Scope 1 NF3 '[kg NF3']]],Strom[[#Totals],[Scope 1 NF3 '[kg NF3']]],Kühl_und_Kältemittel[[#Totals],[Scope 1 NF3 '[kg NF3']]],Fuhrpark[[#Totals],[Scope 1 NF3 '[kg NF3']]])/1000</f>
        <v>0</v>
      </c>
      <c r="AF99" s="344">
        <f>SUM(Wärme[[#Totals],[Scope 1 NF3 '[kg CO2e']]],Strom[[#Totals],[Scope 1 NF3 '[kg CO2e']]],Kühl_und_Kältemittel[[#Totals],[Scope 1 NF3 '[kg CO2e']]],Fuhrpark[[#Totals],[Scope 1 NF3 '[kg CO2e']]])/1000</f>
        <v>0</v>
      </c>
      <c r="AG99" s="344">
        <f>SUM(Wärme[[#Totals],[Scope 2 NF3 '[kg NF3']]],Strom[[#Totals],[Scope 2 NF3 '[kg NF3']]],Kühl_und_Kältemittel[[#Totals],[Scope 2 NF3 '[kg NF3']]],Fuhrpark[[#Totals],[Scope 2 NF3 '[kg NF3']]])/1000</f>
        <v>0</v>
      </c>
      <c r="AH99" s="344">
        <f>SUM(Wärme[[#Totals],[Scope 2 NF3 '[kg CO2e']]],Strom[[#Totals],[Scope 2 NF3 '[kg CO2e']]],Kühl_und_Kältemittel[[#Totals],[Scope 2 NF3 '[kg CO2e']]],Fuhrpark[[#Totals],[Scope 2 NF3 '[kg CO2e']]])/1000</f>
        <v>0</v>
      </c>
      <c r="AI99" s="8"/>
      <c r="AJ99" s="8"/>
      <c r="AK99" s="8"/>
      <c r="AL99" s="8"/>
      <c r="AM99" s="8"/>
      <c r="AN99" s="8"/>
      <c r="AO99" s="8"/>
      <c r="AP99" s="8"/>
      <c r="BA99" s="35"/>
    </row>
    <row r="100" spans="1:53" ht="16.5" customHeight="1" x14ac:dyDescent="0.35">
      <c r="A100" s="34"/>
      <c r="C100" s="417" t="s">
        <v>544</v>
      </c>
      <c r="D100" s="344">
        <f>SUM(Wärme[[#Totals],[Scope 1 non-Kyoto '[kg non-Kyoto gas']]],Strom[[#Totals],[Scope 1 non-Kyoto '[kg non-Kyoto gas']]],Kühl_und_Kältemittel[[#Totals],[Scope 1 non-Kyoto '[kg non-Kyoto gas']]],Fuhrpark[[#Totals],[Scope 1 non-Kyoto '[kg non-Kyoto gas']]])/1000</f>
        <v>0</v>
      </c>
      <c r="E100" s="344">
        <f>SUM(Wärme[[#Totals],[Scope 1 non-Kyoto '[kg CO2e']]],Strom[[#Totals],[Scope 1 non-Kyoto '[kg CO2e']]],Kühl_und_Kältemittel[[#Totals],[Scope 1 non-Kyoto '[kg CO2e']]],Fuhrpark[[#Totals],[Scope 1 non-Kyoto '[kg CO2e']]])/1000</f>
        <v>0</v>
      </c>
      <c r="F100" s="344">
        <f>SUM(Wärme[[#Totals],[Scope 2 non-Kyoto '[kg non-Kyoto gas']]],Strom[[#Totals],[Scope 2 non-Kyoto '[kg non-Kyoto gas']]],Kühl_und_Kältemittel[[#Totals],[Scope 2 non-Kyoto '[kg non-Kyoto gas']]],Fuhrpark[[#Totals],[Scope 2 non-Kyoto '[kg non-Kyoto gas']]])/1000</f>
        <v>0</v>
      </c>
      <c r="G100" s="344">
        <f>SUM(Wärme[[#Totals],[Scope 2 non-Kyoto '[kg CO2e']]],Strom[[#Totals],[Scope 2 non-Kyoto '[kg CO2e']]],Kühl_und_Kältemittel[[#Totals],[Scope 2 non-Kyoto '[kg CO2e']]],Fuhrpark[[#Totals],[Scope 2 non-Kyoto '[kg CO2e']]])/1000</f>
        <v>0</v>
      </c>
      <c r="Z100" s="35"/>
      <c r="AA100" s="28"/>
      <c r="AB100" s="34"/>
      <c r="AC100" s="15"/>
      <c r="AD100" s="417" t="s">
        <v>544</v>
      </c>
      <c r="AE100" s="344">
        <f>SUM(Wärme[[#Totals],[Scope 1 non-Kyoto '[kg non-Kyoto gas']]],Strom[[#Totals],[Scope 1 non-Kyoto '[kg non-Kyoto gas']]],Kühl_und_Kältemittel[[#Totals],[Scope 1 non-Kyoto '[kg non-Kyoto gas']]],Fuhrpark[[#Totals],[Scope 1 non-Kyoto '[kg non-Kyoto gas']]])/1000</f>
        <v>0</v>
      </c>
      <c r="AF100" s="344">
        <f>SUM(Wärme[[#Totals],[Scope 1 non-Kyoto '[kg CO2e']]],Strom[[#Totals],[Scope 1 non-Kyoto '[kg CO2e']]],Kühl_und_Kältemittel[[#Totals],[Scope 1 non-Kyoto '[kg CO2e']]],Fuhrpark[[#Totals],[Scope 1 non-Kyoto '[kg CO2e']]])/1000</f>
        <v>0</v>
      </c>
      <c r="AG100" s="344">
        <f>SUM(Wärme[[#Totals],[Scope 2 non-Kyoto '[kg non-Kyoto gas']]],Strom[[#Totals],[Scope 2 non-Kyoto '[kg non-Kyoto gas']]],Kühl_und_Kältemittel[[#Totals],[Scope 2 non-Kyoto '[kg non-Kyoto gas']]],Fuhrpark[[#Totals],[Scope 2 non-Kyoto '[kg non-Kyoto gas']]])/1000</f>
        <v>0</v>
      </c>
      <c r="AH100" s="344">
        <f>SUM(Wärme[[#Totals],[Scope 2 non-Kyoto '[kg CO2e']]],Strom[[#Totals],[Scope 2 non-Kyoto '[kg CO2e']]],Kühl_und_Kältemittel[[#Totals],[Scope 2 non-Kyoto '[kg CO2e']]],Fuhrpark[[#Totals],[Scope 2 non-Kyoto '[kg CO2e']]])/1000</f>
        <v>0</v>
      </c>
      <c r="AI100" s="8"/>
      <c r="AJ100" s="8"/>
      <c r="AK100" s="8"/>
      <c r="AL100" s="8"/>
      <c r="AM100" s="8"/>
      <c r="AN100" s="8"/>
      <c r="AO100" s="8"/>
      <c r="AP100" s="8"/>
      <c r="BA100" s="35"/>
    </row>
    <row r="101" spans="1:53" ht="24" customHeight="1" thickBot="1" x14ac:dyDescent="0.4">
      <c r="A101" s="43"/>
      <c r="B101" s="222"/>
      <c r="C101" s="45"/>
      <c r="D101" s="46"/>
      <c r="E101" s="46"/>
      <c r="F101" s="46"/>
      <c r="G101" s="46"/>
      <c r="H101" s="47"/>
      <c r="I101" s="47"/>
      <c r="J101" s="47"/>
      <c r="K101" s="47"/>
      <c r="L101" s="47"/>
      <c r="M101" s="47"/>
      <c r="N101" s="47"/>
      <c r="O101" s="47"/>
      <c r="P101" s="47"/>
      <c r="Q101" s="47"/>
      <c r="R101" s="47"/>
      <c r="S101" s="47"/>
      <c r="T101" s="47"/>
      <c r="U101" s="47"/>
      <c r="V101" s="47"/>
      <c r="W101" s="46"/>
      <c r="X101" s="46"/>
      <c r="Y101" s="46"/>
      <c r="Z101" s="48"/>
      <c r="AA101" s="425"/>
      <c r="AB101" s="43"/>
      <c r="AC101" s="222"/>
      <c r="AD101" s="45"/>
      <c r="AE101" s="46"/>
      <c r="AF101" s="46"/>
      <c r="AG101" s="46"/>
      <c r="AH101" s="46"/>
      <c r="AI101" s="47"/>
      <c r="AJ101" s="47"/>
      <c r="AK101" s="47"/>
      <c r="AL101" s="47"/>
      <c r="AM101" s="47"/>
      <c r="AN101" s="47"/>
      <c r="AO101" s="47"/>
      <c r="AP101" s="47"/>
      <c r="AQ101" s="47"/>
      <c r="AR101" s="47"/>
      <c r="AS101" s="47"/>
      <c r="AT101" s="47"/>
      <c r="AU101" s="47"/>
      <c r="AV101" s="47"/>
      <c r="AW101" s="47"/>
      <c r="AX101" s="46"/>
      <c r="AY101" s="46"/>
      <c r="AZ101" s="46"/>
      <c r="BA101" s="48"/>
    </row>
    <row r="102" spans="1:53" s="338" customFormat="1" ht="24" customHeight="1" x14ac:dyDescent="0.45">
      <c r="A102" s="336"/>
      <c r="B102" s="126" t="s">
        <v>406</v>
      </c>
      <c r="C102" s="337"/>
      <c r="H102" s="339"/>
      <c r="I102" s="339"/>
      <c r="J102" s="339"/>
      <c r="K102" s="339"/>
      <c r="L102" s="339"/>
      <c r="M102" s="339"/>
      <c r="N102" s="339"/>
      <c r="O102" s="339"/>
      <c r="Z102" s="340"/>
      <c r="AA102" s="428"/>
      <c r="AB102" s="336"/>
      <c r="AC102" s="126" t="s">
        <v>406</v>
      </c>
      <c r="AD102" s="337"/>
      <c r="AI102" s="339"/>
      <c r="AJ102" s="339"/>
      <c r="AK102" s="339"/>
      <c r="AL102" s="339"/>
      <c r="AM102" s="339"/>
      <c r="AN102" s="339"/>
      <c r="AO102" s="339"/>
      <c r="AP102" s="339"/>
      <c r="BA102" s="340"/>
    </row>
    <row r="103" spans="1:53" x14ac:dyDescent="0.35">
      <c r="A103" s="34"/>
      <c r="B103" s="356" t="s">
        <v>413</v>
      </c>
      <c r="Z103" s="35"/>
      <c r="AA103" s="28"/>
      <c r="AB103" s="34"/>
      <c r="AC103" s="356" t="s">
        <v>413</v>
      </c>
      <c r="AD103" s="10"/>
      <c r="AI103" s="8"/>
      <c r="AJ103" s="8"/>
      <c r="AK103" s="8"/>
      <c r="AL103" s="8"/>
      <c r="AM103" s="8"/>
      <c r="AN103" s="8"/>
      <c r="AO103" s="8"/>
      <c r="AP103" s="8"/>
      <c r="BA103" s="35"/>
    </row>
    <row r="104" spans="1:53" ht="29" x14ac:dyDescent="0.35">
      <c r="A104" s="34"/>
      <c r="C104" s="347" t="s">
        <v>11</v>
      </c>
      <c r="D104" s="317" t="s">
        <v>392</v>
      </c>
      <c r="E104" s="318" t="s">
        <v>393</v>
      </c>
      <c r="J104"/>
      <c r="Z104" s="35"/>
      <c r="AA104" s="28"/>
      <c r="AB104" s="34"/>
      <c r="AC104" s="15"/>
      <c r="AD104" s="347" t="s">
        <v>11</v>
      </c>
      <c r="AE104" s="317" t="s">
        <v>392</v>
      </c>
      <c r="AF104" s="318" t="s">
        <v>393</v>
      </c>
      <c r="AI104" s="8"/>
      <c r="AJ104" s="8"/>
      <c r="AL104" s="8"/>
      <c r="AM104" s="8"/>
      <c r="AN104" s="8"/>
      <c r="AO104" s="8"/>
      <c r="AP104" s="8"/>
      <c r="BA104" s="35"/>
    </row>
    <row r="105" spans="1:53" x14ac:dyDescent="0.35">
      <c r="A105" s="34"/>
      <c r="C105" s="325" t="s">
        <v>394</v>
      </c>
      <c r="D105" s="324">
        <f t="array" ref="D105">SUM(IFERROR(D107:D114,0))</f>
        <v>0</v>
      </c>
      <c r="E105" s="324" t="str">
        <f>IFERROR((D105*1000)/SUM(Tab_Gliederungselemente[Nettogrundfläche (m2)]),"k.A.")</f>
        <v>k.A.</v>
      </c>
      <c r="J105"/>
      <c r="Z105" s="35"/>
      <c r="AA105" s="28"/>
      <c r="AB105" s="34"/>
      <c r="AC105" s="15"/>
      <c r="AD105" s="325" t="s">
        <v>394</v>
      </c>
      <c r="AE105" s="324" cm="1">
        <f t="array" ref="AE105">SUM(IFERROR(AE107:AE114,0))</f>
        <v>0</v>
      </c>
      <c r="AF105" s="324" t="str">
        <f>IFERROR((AE105*1000)/SUM(Tab_Gliederungselemente[Nettogrundfläche (m2)]),"k.A.")</f>
        <v>k.A.</v>
      </c>
      <c r="AI105" s="8"/>
      <c r="AJ105" s="8"/>
      <c r="AL105" s="8"/>
      <c r="AM105" s="8"/>
      <c r="AN105" s="8"/>
      <c r="AO105" s="8"/>
      <c r="AP105" s="8"/>
      <c r="BA105" s="35"/>
    </row>
    <row r="106" spans="1:53" ht="29" x14ac:dyDescent="0.35">
      <c r="A106" s="34"/>
      <c r="C106" s="327" t="s">
        <v>395</v>
      </c>
      <c r="D106" s="328" t="s">
        <v>392</v>
      </c>
      <c r="E106" s="332" t="s">
        <v>396</v>
      </c>
      <c r="J106"/>
      <c r="Z106" s="35"/>
      <c r="AA106" s="28"/>
      <c r="AB106" s="34"/>
      <c r="AC106" s="15"/>
      <c r="AD106" s="327" t="s">
        <v>395</v>
      </c>
      <c r="AE106" s="328" t="s">
        <v>392</v>
      </c>
      <c r="AF106" s="332" t="s">
        <v>396</v>
      </c>
      <c r="AI106" s="8"/>
      <c r="AJ106" s="8"/>
      <c r="AL106" s="8"/>
      <c r="AM106" s="8"/>
      <c r="AN106" s="8"/>
      <c r="AO106" s="8"/>
      <c r="AP106" s="8"/>
      <c r="BA106" s="35"/>
    </row>
    <row r="107" spans="1:53" x14ac:dyDescent="0.35">
      <c r="A107" s="34"/>
      <c r="C107" s="329" t="s">
        <v>397</v>
      </c>
      <c r="D107" s="344">
        <f>((SUMIF(Wärme[Emissionsquelle/Aktivität (Dropdown)],Emissionsfaktoren!$E$9,Wärme[Wert 
(Zahl)])*Emissionsfaktoren!$AD$9)+(SUMIF(Wärme[Emissionsquelle/Aktivität (Dropdown)],Emissionsfaktoren!$E$10,Wärme[Wert 
(Zahl)])*Emissionsfaktoren!$AD$10))/1000</f>
        <v>0</v>
      </c>
      <c r="E107" s="342">
        <f>IF(D107=0,0,IFERROR(D107/D$105,NA()))</f>
        <v>0</v>
      </c>
      <c r="G107" s="331"/>
      <c r="J107"/>
      <c r="Z107" s="35"/>
      <c r="AA107" s="28"/>
      <c r="AB107" s="34"/>
      <c r="AC107" s="15"/>
      <c r="AD107" s="329" t="s">
        <v>397</v>
      </c>
      <c r="AE107" s="344">
        <f>((SUMIF(Wärme[Emissionsquelle/Aktivität (Dropdown)],Emissionsfaktoren!$E$9,Wärme[Wert 
(Zahl)])*Emissionsfaktoren!$AD$9)+(SUMIF(Wärme[Emissionsquelle/Aktivität (Dropdown)],Emissionsfaktoren!$E$10,Wärme[Wert 
(Zahl)])*Emissionsfaktoren!$AD$10))/1000</f>
        <v>0</v>
      </c>
      <c r="AF107" s="342">
        <f>IF(AE107=0,0,IFERROR(AE107/AE$105,NA()))</f>
        <v>0</v>
      </c>
      <c r="AH107" s="331"/>
      <c r="AI107" s="8"/>
      <c r="AJ107" s="8"/>
      <c r="AL107" s="8"/>
      <c r="AM107" s="8"/>
      <c r="AN107" s="8"/>
      <c r="AO107" s="8"/>
      <c r="AP107" s="8"/>
      <c r="BA107" s="35"/>
    </row>
    <row r="108" spans="1:53" x14ac:dyDescent="0.35">
      <c r="A108" s="34"/>
      <c r="C108" s="329" t="s">
        <v>398</v>
      </c>
      <c r="D108" s="344">
        <f>((SUMIF(Wärme[Emissionsquelle/Aktivität (Dropdown)],Emissionsfaktoren!$E$11,Wärme[Wert 
(Zahl)])*Emissionsfaktoren!$AD$11)+(SUMIF(Wärme[Emissionsquelle/Aktivität (Dropdown)],Emissionsfaktoren!$E$12,Wärme[Wert 
(Zahl)])*Emissionsfaktoren!$AD$12))/1000</f>
        <v>0</v>
      </c>
      <c r="E108" s="342">
        <f t="shared" ref="E108:E114" si="19">IF(D108=0,0,IFERROR(D108/D$105,NA()))</f>
        <v>0</v>
      </c>
      <c r="G108" s="331"/>
      <c r="J108"/>
      <c r="Z108" s="35"/>
      <c r="AA108" s="28"/>
      <c r="AB108" s="34"/>
      <c r="AC108" s="15"/>
      <c r="AD108" s="329" t="s">
        <v>398</v>
      </c>
      <c r="AE108" s="344">
        <f>((SUMIF(Wärme[Emissionsquelle/Aktivität (Dropdown)],Emissionsfaktoren!$E$11,Wärme[Wert 
(Zahl)])*Emissionsfaktoren!$AD$11)+(SUMIF(Wärme[Emissionsquelle/Aktivität (Dropdown)],Emissionsfaktoren!$E$12,Wärme[Wert 
(Zahl)])*Emissionsfaktoren!$AD$12))/1000</f>
        <v>0</v>
      </c>
      <c r="AF108" s="342">
        <f t="shared" ref="AF108:AF114" si="20">IF(AE108=0,0,IFERROR(AE108/AE$105,NA()))</f>
        <v>0</v>
      </c>
      <c r="AH108" s="331"/>
      <c r="AI108" s="8"/>
      <c r="AJ108" s="8"/>
      <c r="AL108" s="8"/>
      <c r="AM108" s="8"/>
      <c r="AN108" s="8"/>
      <c r="AO108" s="8"/>
      <c r="AP108" s="8"/>
      <c r="BA108" s="35"/>
    </row>
    <row r="109" spans="1:53" x14ac:dyDescent="0.35">
      <c r="A109" s="34"/>
      <c r="C109" s="329" t="s">
        <v>399</v>
      </c>
      <c r="D109" s="344">
        <f>((SUMIF(Wärme[Emissionsquelle/Aktivität (Dropdown)],Emissionsfaktoren!$E$13,Wärme[Wert 
(Zahl)])*Emissionsfaktoren!$AD$13)+(SUMIF(Wärme[Emissionsquelle/Aktivität (Dropdown)],Emissionsfaktoren!$E$14,Wärme[Wert 
(Zahl)])*Emissionsfaktoren!$AD$14))/1000</f>
        <v>0</v>
      </c>
      <c r="E109" s="342">
        <f t="shared" si="19"/>
        <v>0</v>
      </c>
      <c r="G109" s="331"/>
      <c r="J109"/>
      <c r="Z109" s="35"/>
      <c r="AA109" s="28"/>
      <c r="AB109" s="34"/>
      <c r="AC109" s="15"/>
      <c r="AD109" s="329" t="s">
        <v>399</v>
      </c>
      <c r="AE109" s="344">
        <f>((SUMIF(Wärme[Emissionsquelle/Aktivität (Dropdown)],Emissionsfaktoren!$E$13,Wärme[Wert 
(Zahl)])*Emissionsfaktoren!$AD$13)+(SUMIF(Wärme[Emissionsquelle/Aktivität (Dropdown)],Emissionsfaktoren!$E$14,Wärme[Wert 
(Zahl)])*Emissionsfaktoren!$AD$14))/1000</f>
        <v>0</v>
      </c>
      <c r="AF109" s="342">
        <f t="shared" si="20"/>
        <v>0</v>
      </c>
      <c r="AH109" s="331"/>
      <c r="AI109" s="8"/>
      <c r="AJ109" s="8"/>
      <c r="AL109" s="8"/>
      <c r="AM109" s="8"/>
      <c r="AN109" s="8"/>
      <c r="AO109" s="8"/>
      <c r="AP109" s="8"/>
      <c r="BA109" s="35"/>
    </row>
    <row r="110" spans="1:53" x14ac:dyDescent="0.35">
      <c r="A110" s="34"/>
      <c r="C110" s="329" t="s">
        <v>400</v>
      </c>
      <c r="D110" s="344">
        <f>((SUMIF(Wärme[Emissionsquelle/Aktivität (Dropdown)],Emissionsfaktoren!$E$15,Wärme[Wert 
(Zahl)])*Emissionsfaktoren!$AD$15)+(SUMIF(Wärme[Emissionsquelle/Aktivität (Dropdown)],Emissionsfaktoren!$E$16,Wärme[Wert 
(Zahl)])*Emissionsfaktoren!$AD$16))/1000</f>
        <v>0</v>
      </c>
      <c r="E110" s="342">
        <f t="shared" si="19"/>
        <v>0</v>
      </c>
      <c r="G110" s="331"/>
      <c r="J110"/>
      <c r="Z110" s="35"/>
      <c r="AA110" s="28"/>
      <c r="AB110" s="34"/>
      <c r="AC110" s="15"/>
      <c r="AD110" s="329" t="s">
        <v>400</v>
      </c>
      <c r="AE110" s="344">
        <f>((SUMIF(Wärme[Emissionsquelle/Aktivität (Dropdown)],Emissionsfaktoren!$E$15,Wärme[Wert 
(Zahl)])*Emissionsfaktoren!$AD$15)+(SUMIF(Wärme[Emissionsquelle/Aktivität (Dropdown)],Emissionsfaktoren!$E$16,Wärme[Wert 
(Zahl)])*Emissionsfaktoren!$AD$16))/1000</f>
        <v>0</v>
      </c>
      <c r="AF110" s="342">
        <f t="shared" si="20"/>
        <v>0</v>
      </c>
      <c r="AH110" s="331"/>
      <c r="AI110" s="8"/>
      <c r="AJ110" s="8"/>
      <c r="AL110" s="8"/>
      <c r="AM110" s="8"/>
      <c r="AN110" s="8"/>
      <c r="AO110" s="8"/>
      <c r="AP110" s="8"/>
      <c r="BA110" s="35"/>
    </row>
    <row r="111" spans="1:53" x14ac:dyDescent="0.35">
      <c r="A111" s="34"/>
      <c r="C111" s="330" t="s">
        <v>409</v>
      </c>
      <c r="D111" s="345">
        <f>((SUMIF(Wärme[Emissionsquelle/Aktivität (Dropdown)],Emissionsfaktoren!$E$17,Wärme[Wert 
(Zahl)])*Emissionsfaktoren!$AD$17)+(SUMIF(Wärme[Emissionsquelle/Aktivität (Dropdown)],Emissionsfaktoren!$E$18,Wärme[Wert 
(Zahl)])*Emissionsfaktoren!$AD$18))/1000</f>
        <v>0</v>
      </c>
      <c r="E111" s="342">
        <f t="shared" si="19"/>
        <v>0</v>
      </c>
      <c r="G111" s="331"/>
      <c r="H111"/>
      <c r="I111"/>
      <c r="J111"/>
      <c r="Z111" s="35"/>
      <c r="AA111" s="28"/>
      <c r="AB111" s="34"/>
      <c r="AC111" s="15"/>
      <c r="AD111" s="330" t="s">
        <v>409</v>
      </c>
      <c r="AE111" s="345">
        <f>((SUMIF(Wärme[Emissionsquelle/Aktivität (Dropdown)],Emissionsfaktoren!$E$17,Wärme[Wert 
(Zahl)])*Emissionsfaktoren!$AD$17)+(SUMIF(Wärme[Emissionsquelle/Aktivität (Dropdown)],Emissionsfaktoren!$E$18,Wärme[Wert 
(Zahl)])*Emissionsfaktoren!$AD$18))/1000</f>
        <v>0</v>
      </c>
      <c r="AF111" s="342">
        <f t="shared" si="20"/>
        <v>0</v>
      </c>
      <c r="AH111" s="331"/>
      <c r="AL111" s="8"/>
      <c r="AM111" s="8"/>
      <c r="AN111" s="8"/>
      <c r="AO111" s="8"/>
      <c r="AP111" s="8"/>
      <c r="BA111" s="35"/>
    </row>
    <row r="112" spans="1:53" x14ac:dyDescent="0.35">
      <c r="A112" s="34"/>
      <c r="C112" s="329" t="s">
        <v>401</v>
      </c>
      <c r="D112" s="344">
        <f>((SUMIF(Wärme[Emissionsquelle/Aktivität (Dropdown)],Emissionsfaktoren!$E$19,Wärme[Wert 
(Zahl)])*Emissionsfaktoren!$AD$19)+(SUMIF(Wärme[Emissionsquelle/Aktivität (Dropdown)],Emissionsfaktoren!$E$20,Wärme[Wert 
(Zahl)])*Emissionsfaktoren!$AD$20))/1000</f>
        <v>0</v>
      </c>
      <c r="E112" s="342">
        <f t="shared" si="19"/>
        <v>0</v>
      </c>
      <c r="G112" s="331"/>
      <c r="J112"/>
      <c r="Z112" s="35"/>
      <c r="AA112" s="28"/>
      <c r="AB112" s="34"/>
      <c r="AC112" s="15"/>
      <c r="AD112" s="329" t="s">
        <v>401</v>
      </c>
      <c r="AE112" s="344">
        <f>((SUMIF(Wärme[Emissionsquelle/Aktivität (Dropdown)],Emissionsfaktoren!$E$19,Wärme[Wert 
(Zahl)])*Emissionsfaktoren!$AD$19)+(SUMIF(Wärme[Emissionsquelle/Aktivität (Dropdown)],Emissionsfaktoren!$E$20,Wärme[Wert 
(Zahl)])*Emissionsfaktoren!$AD$20))/1000</f>
        <v>0</v>
      </c>
      <c r="AF112" s="342">
        <f t="shared" si="20"/>
        <v>0</v>
      </c>
      <c r="AH112" s="331"/>
      <c r="AI112" s="8"/>
      <c r="AJ112" s="8"/>
      <c r="AL112" s="8"/>
      <c r="AM112" s="8"/>
      <c r="AN112" s="8"/>
      <c r="AO112" s="8"/>
      <c r="AP112" s="8"/>
      <c r="BA112" s="35"/>
    </row>
    <row r="113" spans="1:53" x14ac:dyDescent="0.35">
      <c r="A113" s="34"/>
      <c r="C113" s="329" t="s">
        <v>22</v>
      </c>
      <c r="D113" s="344">
        <f>(SUMIF(Wärme[Emissionsquelle/Aktivität (Dropdown)],Emissionsfaktoren!$E$21,Wärme[Wert 
(Zahl)])*Emissionsfaktoren!$AD$21)/1000</f>
        <v>0</v>
      </c>
      <c r="E113" s="342">
        <f t="shared" si="19"/>
        <v>0</v>
      </c>
      <c r="G113" s="331"/>
      <c r="J113"/>
      <c r="Z113" s="35"/>
      <c r="AA113" s="28"/>
      <c r="AB113" s="34"/>
      <c r="AC113" s="15"/>
      <c r="AD113" s="329" t="s">
        <v>22</v>
      </c>
      <c r="AE113" s="344">
        <f>(SUMIF(Wärme[Emissionsquelle/Aktivität (Dropdown)],Emissionsfaktoren!$E$21,Wärme[Wert 
(Zahl)])*Emissionsfaktoren!$AD$21)/1000</f>
        <v>0</v>
      </c>
      <c r="AF113" s="342">
        <f t="shared" si="20"/>
        <v>0</v>
      </c>
      <c r="AH113" s="331"/>
      <c r="AI113" s="8"/>
      <c r="AJ113" s="8"/>
      <c r="AL113" s="8"/>
      <c r="AM113" s="8"/>
      <c r="AN113" s="8"/>
      <c r="AO113" s="8"/>
      <c r="AP113" s="8"/>
      <c r="BA113" s="35"/>
    </row>
    <row r="114" spans="1:53" x14ac:dyDescent="0.35">
      <c r="A114" s="34"/>
      <c r="C114" s="329" t="s">
        <v>23</v>
      </c>
      <c r="D114" s="344">
        <f>(SUMIF(Wärme[Emissionsquelle/Aktivität (Dropdown)],Emissionsfaktoren!$E$22,Wärme[Wert 
(Zahl)])*Emissionsfaktoren!$AD$22)/1000</f>
        <v>0</v>
      </c>
      <c r="E114" s="342">
        <f t="shared" si="19"/>
        <v>0</v>
      </c>
      <c r="G114" s="331"/>
      <c r="J114"/>
      <c r="Z114" s="35"/>
      <c r="AA114" s="28"/>
      <c r="AB114" s="34"/>
      <c r="AC114" s="15"/>
      <c r="AD114" s="329" t="s">
        <v>23</v>
      </c>
      <c r="AE114" s="344">
        <f>(SUMIF(Wärme[Emissionsquelle/Aktivität (Dropdown)],Emissionsfaktoren!$E$22,Wärme[Wert 
(Zahl)])*Emissionsfaktoren!$AD$22)/1000</f>
        <v>0</v>
      </c>
      <c r="AF114" s="342">
        <f t="shared" si="20"/>
        <v>0</v>
      </c>
      <c r="AH114" s="331"/>
      <c r="AI114" s="8"/>
      <c r="AJ114" s="8"/>
      <c r="AL114" s="8"/>
      <c r="AM114" s="8"/>
      <c r="AN114" s="8"/>
      <c r="AO114" s="8"/>
      <c r="AP114" s="8"/>
      <c r="BA114" s="35"/>
    </row>
    <row r="115" spans="1:53" x14ac:dyDescent="0.35">
      <c r="A115" s="34"/>
      <c r="C115" s="171"/>
      <c r="D115" s="170"/>
      <c r="E115" s="315"/>
      <c r="H115"/>
      <c r="I115"/>
      <c r="J115"/>
      <c r="Z115" s="35"/>
      <c r="AA115" s="28"/>
      <c r="AB115" s="34"/>
      <c r="AC115" s="15"/>
      <c r="AD115" s="171"/>
      <c r="AE115" s="170"/>
      <c r="AF115" s="315"/>
      <c r="AL115" s="8"/>
      <c r="AM115" s="8"/>
      <c r="AN115" s="8"/>
      <c r="AO115" s="8"/>
      <c r="AP115" s="8"/>
      <c r="BA115" s="35"/>
    </row>
    <row r="116" spans="1:53" ht="29" x14ac:dyDescent="0.35">
      <c r="A116" s="34"/>
      <c r="C116" s="348" t="s">
        <v>15</v>
      </c>
      <c r="D116" s="319" t="s">
        <v>392</v>
      </c>
      <c r="E116" s="320" t="s">
        <v>393</v>
      </c>
      <c r="H116"/>
      <c r="I116"/>
      <c r="J116"/>
      <c r="Z116" s="35"/>
      <c r="AA116" s="28"/>
      <c r="AB116" s="34"/>
      <c r="AC116" s="15"/>
      <c r="AD116" s="348" t="s">
        <v>15</v>
      </c>
      <c r="AE116" s="319" t="s">
        <v>392</v>
      </c>
      <c r="AF116" s="320" t="s">
        <v>393</v>
      </c>
      <c r="AL116" s="8"/>
      <c r="AM116" s="8"/>
      <c r="AN116" s="8"/>
      <c r="AO116" s="8"/>
      <c r="AP116" s="8"/>
      <c r="BA116" s="35"/>
    </row>
    <row r="117" spans="1:53" x14ac:dyDescent="0.35">
      <c r="A117" s="34"/>
      <c r="C117" s="326" t="s">
        <v>408</v>
      </c>
      <c r="D117" s="298">
        <f>SUM(D119:D119)</f>
        <v>0</v>
      </c>
      <c r="E117" s="298" t="str">
        <f>IFERROR((D117*1000)/SUM(Tab_Gliederungselemente[Nettogrundfläche (m2)]),"k.A.")</f>
        <v>k.A.</v>
      </c>
      <c r="H117"/>
      <c r="I117"/>
      <c r="J117"/>
      <c r="Z117" s="35"/>
      <c r="AA117" s="28"/>
      <c r="AB117" s="34"/>
      <c r="AC117" s="15"/>
      <c r="AD117" s="326" t="s">
        <v>408</v>
      </c>
      <c r="AE117" s="298">
        <f>SUM(AE119:AE119)</f>
        <v>0</v>
      </c>
      <c r="AF117" s="298" t="str">
        <f>IFERROR((AE117*1000)/SUM(Tab_Gliederungselemente[Nettogrundfläche (m2)]),"k.A.")</f>
        <v>k.A.</v>
      </c>
      <c r="AL117" s="8"/>
      <c r="AM117" s="8"/>
      <c r="AN117" s="8"/>
      <c r="AO117" s="8"/>
      <c r="AP117" s="8"/>
      <c r="BA117" s="35"/>
    </row>
    <row r="118" spans="1:53" ht="29" x14ac:dyDescent="0.35">
      <c r="A118" s="34"/>
      <c r="C118" s="172" t="s">
        <v>395</v>
      </c>
      <c r="D118" s="319" t="s">
        <v>392</v>
      </c>
      <c r="E118" s="320" t="s">
        <v>396</v>
      </c>
      <c r="H118"/>
      <c r="I118"/>
      <c r="J118"/>
      <c r="Z118" s="35"/>
      <c r="AA118" s="28"/>
      <c r="AB118" s="34"/>
      <c r="AC118" s="15"/>
      <c r="AD118" s="172" t="s">
        <v>395</v>
      </c>
      <c r="AE118" s="319" t="s">
        <v>392</v>
      </c>
      <c r="AF118" s="320" t="s">
        <v>396</v>
      </c>
      <c r="AL118" s="8"/>
      <c r="AM118" s="8"/>
      <c r="AN118" s="8"/>
      <c r="AO118" s="8"/>
      <c r="AP118" s="8"/>
      <c r="BA118" s="35"/>
    </row>
    <row r="119" spans="1:53" x14ac:dyDescent="0.35">
      <c r="A119" s="34"/>
      <c r="C119" s="322" t="s">
        <v>537</v>
      </c>
      <c r="D119" s="346">
        <f>SUMIF(Strom[Emissionsquelle/Aktivität (Dropdown)], Emissionsfaktoren!$E$35,Strom[Wert 
(Zahl)])/1000</f>
        <v>0</v>
      </c>
      <c r="E119" s="343">
        <f>IF(D119=0,0,IFERROR(D119/D$117,NA()))</f>
        <v>0</v>
      </c>
      <c r="H119"/>
      <c r="I119"/>
      <c r="J119"/>
      <c r="Z119" s="35"/>
      <c r="AA119" s="28"/>
      <c r="AB119" s="34"/>
      <c r="AC119" s="15"/>
      <c r="AD119" s="322" t="s">
        <v>537</v>
      </c>
      <c r="AE119" s="346">
        <f>SUMIF(Strom[Emissionsquelle/Aktivität (Dropdown)], Emissionsfaktoren!$E$35,Strom[Wert 
(Zahl)])/1000</f>
        <v>0</v>
      </c>
      <c r="AF119" s="343">
        <f>IF(AE119=0,0,IFERROR(AE119/AE$117,NA()))</f>
        <v>0</v>
      </c>
      <c r="AL119" s="8"/>
      <c r="AM119" s="8"/>
      <c r="AN119" s="8"/>
      <c r="AO119" s="8"/>
      <c r="AP119" s="8"/>
      <c r="BA119" s="35"/>
    </row>
    <row r="120" spans="1:53" ht="14.5" customHeight="1" x14ac:dyDescent="0.35">
      <c r="A120" s="34"/>
      <c r="C120" s="316"/>
      <c r="D120" s="170"/>
      <c r="E120" s="323"/>
      <c r="Z120" s="35"/>
      <c r="AA120" s="28"/>
      <c r="AB120" s="34"/>
      <c r="AC120" s="15"/>
      <c r="AD120" s="316"/>
      <c r="AE120" s="170"/>
      <c r="AF120" s="323"/>
      <c r="AI120" s="8"/>
      <c r="AJ120" s="8"/>
      <c r="AK120" s="8"/>
      <c r="AL120" s="8"/>
      <c r="AM120" s="8"/>
      <c r="AN120" s="8"/>
      <c r="AO120" s="8"/>
      <c r="AP120" s="8"/>
      <c r="BA120" s="35"/>
    </row>
    <row r="121" spans="1:53" ht="29" x14ac:dyDescent="0.35">
      <c r="A121" s="34"/>
      <c r="C121" s="348" t="s">
        <v>15</v>
      </c>
      <c r="D121" s="319" t="s">
        <v>392</v>
      </c>
      <c r="E121" s="320" t="s">
        <v>393</v>
      </c>
      <c r="Z121" s="35"/>
      <c r="AA121" s="28"/>
      <c r="AB121" s="34"/>
      <c r="AC121" s="15"/>
      <c r="AD121" s="348" t="s">
        <v>15</v>
      </c>
      <c r="AE121" s="319" t="s">
        <v>392</v>
      </c>
      <c r="AF121" s="320" t="s">
        <v>393</v>
      </c>
      <c r="AI121" s="8"/>
      <c r="AJ121" s="8"/>
      <c r="AK121" s="8"/>
      <c r="AL121" s="8"/>
      <c r="AM121" s="8"/>
      <c r="AN121" s="8"/>
      <c r="AO121" s="8"/>
      <c r="AP121" s="8"/>
      <c r="BA121" s="35"/>
    </row>
    <row r="122" spans="1:53" x14ac:dyDescent="0.35">
      <c r="A122" s="34"/>
      <c r="C122" s="326" t="s">
        <v>402</v>
      </c>
      <c r="D122" s="298">
        <f>SUM(D124:D125)</f>
        <v>0</v>
      </c>
      <c r="E122" s="298" t="str">
        <f>IFERROR((D122*1000)/SUM(Tab_Gliederungselemente[Nettogrundfläche (m2)]),"k.A.")</f>
        <v>k.A.</v>
      </c>
      <c r="Z122" s="35"/>
      <c r="AA122" s="28"/>
      <c r="AB122" s="34"/>
      <c r="AC122" s="15"/>
      <c r="AD122" s="326" t="s">
        <v>402</v>
      </c>
      <c r="AE122" s="298">
        <f>SUM(AE124:AE125)</f>
        <v>0</v>
      </c>
      <c r="AF122" s="298" t="str">
        <f>IFERROR((AE122*1000)/SUM(Tab_Gliederungselemente[Nettogrundfläche (m2)]),"k.A.")</f>
        <v>k.A.</v>
      </c>
      <c r="AI122" s="8"/>
      <c r="AJ122" s="8"/>
      <c r="AK122" s="8"/>
      <c r="AL122" s="8"/>
      <c r="AM122" s="8"/>
      <c r="AN122" s="8"/>
      <c r="AO122" s="8"/>
      <c r="AP122" s="8"/>
      <c r="BA122" s="35"/>
    </row>
    <row r="123" spans="1:53" ht="29" x14ac:dyDescent="0.35">
      <c r="A123" s="34"/>
      <c r="C123" s="172" t="s">
        <v>395</v>
      </c>
      <c r="D123" s="319" t="s">
        <v>392</v>
      </c>
      <c r="E123" s="320" t="s">
        <v>396</v>
      </c>
      <c r="Z123" s="35"/>
      <c r="AA123" s="28"/>
      <c r="AB123" s="34"/>
      <c r="AC123" s="15"/>
      <c r="AD123" s="172" t="s">
        <v>395</v>
      </c>
      <c r="AE123" s="319" t="s">
        <v>392</v>
      </c>
      <c r="AF123" s="320" t="s">
        <v>396</v>
      </c>
      <c r="AI123" s="8"/>
      <c r="AJ123" s="8"/>
      <c r="AK123" s="8"/>
      <c r="AL123" s="8"/>
      <c r="AM123" s="8"/>
      <c r="AN123" s="8"/>
      <c r="AO123" s="8"/>
      <c r="AP123" s="8"/>
      <c r="BA123" s="35"/>
    </row>
    <row r="124" spans="1:53" x14ac:dyDescent="0.35">
      <c r="A124" s="34"/>
      <c r="C124" s="321" t="s">
        <v>126</v>
      </c>
      <c r="D124" s="346">
        <f>SUMIF(Strom[Emissionsquelle/Aktivität (Dropdown)],Emissionsfaktoren!$E$37,Strom[Wert 
(Zahl)])*Emissionsfaktoren!$AD$37/1000</f>
        <v>0</v>
      </c>
      <c r="E124" s="343">
        <f>IF(D124=0,0,IFERROR(D124/D$122,NA()))</f>
        <v>0</v>
      </c>
      <c r="Z124" s="35"/>
      <c r="AA124" s="28"/>
      <c r="AB124" s="34"/>
      <c r="AC124" s="15"/>
      <c r="AD124" s="321" t="s">
        <v>126</v>
      </c>
      <c r="AE124" s="346">
        <f>SUMIF(Strom[Emissionsquelle/Aktivität (Dropdown)],Emissionsfaktoren!$E$37,Strom[Wert 
(Zahl)])*Emissionsfaktoren!$AD$37/1000</f>
        <v>0</v>
      </c>
      <c r="AF124" s="343">
        <f>IF(AE124=0,0,IFERROR(AE124/AE$122,NA()))</f>
        <v>0</v>
      </c>
      <c r="AI124" s="8"/>
      <c r="AJ124" s="8"/>
      <c r="AK124" s="8"/>
      <c r="AL124" s="8"/>
      <c r="AM124" s="8"/>
      <c r="AN124" s="8"/>
      <c r="AO124" s="8"/>
      <c r="AP124" s="8"/>
      <c r="BA124" s="35"/>
    </row>
    <row r="125" spans="1:53" ht="14.4" customHeight="1" x14ac:dyDescent="0.35">
      <c r="A125" s="34"/>
      <c r="C125" s="321" t="s">
        <v>105</v>
      </c>
      <c r="D125" s="346">
        <f>SUMIF(Strom[Emissionsquelle/Aktivität (Dropdown)], Emissionsfaktoren!$E$36,Strom[Wert 
(Zahl)])*Emissionsfaktoren!$AD$36/1000</f>
        <v>0</v>
      </c>
      <c r="E125" s="343">
        <f>IF(D125=0,0,IFERROR(D125/D$122,NA()))</f>
        <v>0</v>
      </c>
      <c r="Z125" s="35"/>
      <c r="AA125" s="28"/>
      <c r="AB125" s="34"/>
      <c r="AC125" s="15"/>
      <c r="AD125" s="321" t="s">
        <v>105</v>
      </c>
      <c r="AE125" s="346">
        <f>SUMIF(Strom[Emissionsquelle/Aktivität (Dropdown)], Emissionsfaktoren!$E$36,Strom[Wert 
(Zahl)])*Emissionsfaktoren!$AD$36/1000</f>
        <v>0</v>
      </c>
      <c r="AF125" s="343">
        <f>IF(AE125=0,0,IFERROR(AE125/AE$122,NA()))</f>
        <v>0</v>
      </c>
      <c r="AI125" s="8"/>
      <c r="AJ125" s="8"/>
      <c r="AK125" s="8"/>
      <c r="AL125" s="8"/>
      <c r="AM125" s="8"/>
      <c r="AN125" s="8"/>
      <c r="AO125" s="8"/>
      <c r="AP125" s="8"/>
      <c r="BA125" s="35"/>
    </row>
    <row r="126" spans="1:53" x14ac:dyDescent="0.35">
      <c r="A126" s="34"/>
      <c r="C126" s="171"/>
      <c r="D126" s="170"/>
      <c r="E126" s="315"/>
      <c r="Z126" s="35"/>
      <c r="AA126" s="28"/>
      <c r="AB126" s="34"/>
      <c r="AC126" s="15"/>
      <c r="AD126" s="171"/>
      <c r="AE126" s="170"/>
      <c r="AF126" s="315"/>
      <c r="AI126" s="8"/>
      <c r="AJ126" s="8"/>
      <c r="AK126" s="8"/>
      <c r="AL126" s="8"/>
      <c r="AM126" s="8"/>
      <c r="AN126" s="8"/>
      <c r="AO126" s="8"/>
      <c r="AP126" s="8"/>
      <c r="BA126" s="35"/>
    </row>
    <row r="127" spans="1:53" ht="23" customHeight="1" x14ac:dyDescent="0.35">
      <c r="A127" s="34"/>
      <c r="Z127" s="35"/>
      <c r="AA127" s="28"/>
      <c r="AB127" s="34"/>
      <c r="AC127" s="15"/>
      <c r="AD127" s="10"/>
      <c r="AI127" s="8"/>
      <c r="AJ127" s="8"/>
      <c r="AK127" s="8"/>
      <c r="AL127" s="8"/>
      <c r="AM127" s="8"/>
      <c r="AN127" s="8"/>
      <c r="AO127" s="8"/>
      <c r="AP127" s="8"/>
      <c r="BA127" s="35"/>
    </row>
    <row r="128" spans="1:53" ht="6" customHeight="1" x14ac:dyDescent="0.35">
      <c r="A128" s="34"/>
      <c r="Z128" s="35"/>
      <c r="AA128" s="28"/>
      <c r="AB128" s="34"/>
      <c r="AC128" s="15"/>
      <c r="AD128" s="10"/>
      <c r="AI128" s="8"/>
      <c r="AJ128" s="8"/>
      <c r="AK128" s="8"/>
      <c r="AL128" s="8"/>
      <c r="AM128" s="8"/>
      <c r="AN128" s="8"/>
      <c r="AO128" s="8"/>
      <c r="AP128" s="8"/>
      <c r="BA128" s="35"/>
    </row>
    <row r="129" spans="1:53" ht="15.75" customHeight="1" thickBot="1" x14ac:dyDescent="0.4">
      <c r="A129" s="28"/>
      <c r="B129" s="29"/>
      <c r="C129" s="30"/>
      <c r="D129" s="28"/>
      <c r="E129" s="28"/>
      <c r="F129" s="28"/>
      <c r="G129" s="28"/>
      <c r="H129" s="31"/>
      <c r="I129" s="31"/>
      <c r="J129" s="31"/>
      <c r="K129" s="31"/>
      <c r="L129" s="31"/>
      <c r="M129" s="31"/>
      <c r="N129" s="31"/>
      <c r="O129" s="31"/>
      <c r="P129" s="31"/>
      <c r="Q129" s="31"/>
      <c r="R129" s="31"/>
      <c r="S129" s="31"/>
      <c r="T129" s="31"/>
      <c r="U129" s="31"/>
      <c r="V129" s="31"/>
      <c r="W129" s="31"/>
      <c r="X129" s="31"/>
      <c r="Y129" s="31"/>
      <c r="Z129" s="31"/>
      <c r="AA129" s="31"/>
      <c r="AB129" s="28"/>
      <c r="AC129" s="29"/>
      <c r="AD129" s="30"/>
      <c r="AE129" s="28"/>
      <c r="AF129" s="28"/>
      <c r="AG129" s="28"/>
      <c r="AH129" s="28"/>
      <c r="AI129" s="31"/>
      <c r="AJ129" s="31"/>
      <c r="AK129" s="31"/>
      <c r="AL129" s="31"/>
      <c r="AM129" s="31"/>
      <c r="AN129" s="31"/>
      <c r="AO129" s="31"/>
      <c r="AP129" s="31"/>
      <c r="AQ129" s="31"/>
      <c r="AR129" s="31"/>
      <c r="AS129" s="31"/>
      <c r="AT129" s="31"/>
      <c r="AU129" s="31"/>
      <c r="AV129" s="31"/>
      <c r="AW129" s="31"/>
      <c r="AX129" s="31"/>
      <c r="AY129" s="31"/>
      <c r="AZ129" s="31"/>
      <c r="BA129" s="31"/>
    </row>
    <row r="130" spans="1:53" ht="15.75" customHeight="1" x14ac:dyDescent="0.35">
      <c r="A130" s="230"/>
      <c r="B130" s="231"/>
      <c r="C130" s="232"/>
      <c r="D130" s="233"/>
      <c r="E130" s="233"/>
      <c r="F130" s="233"/>
      <c r="G130" s="233"/>
      <c r="H130" s="658" t="s">
        <v>336</v>
      </c>
      <c r="I130" s="658"/>
      <c r="J130" s="658"/>
      <c r="K130" s="658"/>
      <c r="L130" s="658"/>
      <c r="M130" s="658"/>
      <c r="N130" s="658"/>
      <c r="O130" s="234"/>
      <c r="P130" s="233"/>
      <c r="Q130" s="233"/>
      <c r="R130" s="233"/>
      <c r="S130" s="233"/>
      <c r="T130" s="234"/>
      <c r="U130" s="233"/>
      <c r="V130" s="233"/>
      <c r="W130" s="233"/>
      <c r="X130" s="233"/>
      <c r="Y130" s="233"/>
      <c r="Z130" s="235"/>
      <c r="AA130" s="424"/>
      <c r="AB130" s="230"/>
      <c r="AC130" s="231"/>
      <c r="AD130" s="232"/>
      <c r="AE130" s="233"/>
      <c r="AF130" s="233"/>
      <c r="AG130" s="233"/>
      <c r="AH130" s="233"/>
      <c r="AI130" s="658" t="s">
        <v>336</v>
      </c>
      <c r="AJ130" s="658"/>
      <c r="AK130" s="658"/>
      <c r="AL130" s="658"/>
      <c r="AM130" s="658"/>
      <c r="AN130" s="658"/>
      <c r="AO130" s="658"/>
      <c r="AP130" s="234"/>
      <c r="AQ130" s="233"/>
      <c r="AR130" s="233"/>
      <c r="AS130" s="233"/>
      <c r="AT130" s="233"/>
      <c r="AU130" s="234"/>
      <c r="AV130" s="233"/>
      <c r="AW130" s="233"/>
      <c r="AX130" s="233"/>
      <c r="AY130" s="233"/>
      <c r="AZ130" s="233"/>
      <c r="BA130" s="235"/>
    </row>
    <row r="131" spans="1:53" ht="21" x14ac:dyDescent="0.5">
      <c r="A131" s="215"/>
      <c r="B131" s="242" t="s">
        <v>455</v>
      </c>
      <c r="C131" s="243"/>
      <c r="D131" s="651"/>
      <c r="E131" s="652"/>
      <c r="F131" s="652"/>
      <c r="G131" s="653"/>
      <c r="H131" s="659"/>
      <c r="I131" s="659"/>
      <c r="J131" s="659"/>
      <c r="K131" s="659"/>
      <c r="L131" s="659"/>
      <c r="M131" s="659"/>
      <c r="N131" s="659"/>
      <c r="O131" s="217"/>
      <c r="P131" s="110"/>
      <c r="Q131" s="110"/>
      <c r="R131" s="110"/>
      <c r="S131" s="110"/>
      <c r="T131" s="217"/>
      <c r="U131" s="110"/>
      <c r="V131" s="110"/>
      <c r="W131" s="110"/>
      <c r="X131" s="110"/>
      <c r="Y131" s="110"/>
      <c r="Z131" s="216"/>
      <c r="AA131" s="28"/>
      <c r="AB131" s="215"/>
      <c r="AC131" s="242" t="s">
        <v>461</v>
      </c>
      <c r="AD131" s="243"/>
      <c r="AE131" s="651"/>
      <c r="AF131" s="652"/>
      <c r="AG131" s="652"/>
      <c r="AH131" s="653"/>
      <c r="AI131" s="659"/>
      <c r="AJ131" s="659"/>
      <c r="AK131" s="659"/>
      <c r="AL131" s="659"/>
      <c r="AM131" s="659"/>
      <c r="AN131" s="659"/>
      <c r="AO131" s="659"/>
      <c r="AP131" s="217"/>
      <c r="AQ131" s="110"/>
      <c r="AR131" s="110"/>
      <c r="AS131" s="110"/>
      <c r="AT131" s="110"/>
      <c r="AU131" s="217"/>
      <c r="AV131" s="110"/>
      <c r="AW131" s="110"/>
      <c r="AX131" s="110"/>
      <c r="AY131" s="110"/>
      <c r="AZ131" s="110"/>
      <c r="BA131" s="216"/>
    </row>
    <row r="132" spans="1:53" ht="15" thickBot="1" x14ac:dyDescent="0.4">
      <c r="A132" s="236"/>
      <c r="B132" s="237"/>
      <c r="C132" s="238"/>
      <c r="D132" s="239"/>
      <c r="E132" s="239"/>
      <c r="F132" s="239"/>
      <c r="G132" s="239"/>
      <c r="H132" s="660"/>
      <c r="I132" s="660"/>
      <c r="J132" s="660"/>
      <c r="K132" s="660"/>
      <c r="L132" s="660"/>
      <c r="M132" s="660"/>
      <c r="N132" s="660"/>
      <c r="O132" s="240"/>
      <c r="P132" s="239"/>
      <c r="Q132" s="239"/>
      <c r="R132" s="239"/>
      <c r="S132" s="239"/>
      <c r="T132" s="240"/>
      <c r="U132" s="239"/>
      <c r="V132" s="239"/>
      <c r="W132" s="239"/>
      <c r="X132" s="239"/>
      <c r="Y132" s="239"/>
      <c r="Z132" s="241"/>
      <c r="AA132" s="425"/>
      <c r="AB132" s="236"/>
      <c r="AC132" s="237"/>
      <c r="AD132" s="238"/>
      <c r="AE132" s="239"/>
      <c r="AF132" s="239"/>
      <c r="AG132" s="239"/>
      <c r="AH132" s="239"/>
      <c r="AI132" s="660"/>
      <c r="AJ132" s="660"/>
      <c r="AK132" s="660"/>
      <c r="AL132" s="660"/>
      <c r="AM132" s="660"/>
      <c r="AN132" s="660"/>
      <c r="AO132" s="660"/>
      <c r="AP132" s="240"/>
      <c r="AQ132" s="239"/>
      <c r="AR132" s="239"/>
      <c r="AS132" s="239"/>
      <c r="AT132" s="239"/>
      <c r="AU132" s="240"/>
      <c r="AV132" s="239"/>
      <c r="AW132" s="239"/>
      <c r="AX132" s="239"/>
      <c r="AY132" s="239"/>
      <c r="AZ132" s="239"/>
      <c r="BA132" s="241"/>
    </row>
    <row r="133" spans="1:53" ht="24" customHeight="1" x14ac:dyDescent="0.35">
      <c r="A133" s="34"/>
      <c r="B133" s="211" t="s">
        <v>326</v>
      </c>
      <c r="C133" s="244"/>
      <c r="D133" s="264" t="str">
        <f>IF(ISBLANK($D$131),"",$D$131)</f>
        <v/>
      </c>
      <c r="T133" s="8"/>
      <c r="Z133" s="35"/>
      <c r="AA133" s="28"/>
      <c r="AB133" s="34"/>
      <c r="AC133" s="211" t="s">
        <v>326</v>
      </c>
      <c r="AD133" s="244"/>
      <c r="AE133" s="264" t="str">
        <f>IF(ISBLANK($AE$131),"",$AE$131)</f>
        <v/>
      </c>
      <c r="AI133" s="8"/>
      <c r="AJ133" s="8"/>
      <c r="AK133" s="8"/>
      <c r="AL133" s="8"/>
      <c r="AM133" s="8"/>
      <c r="AN133" s="8"/>
      <c r="AO133" s="8"/>
      <c r="AP133" s="8"/>
      <c r="AU133" s="8"/>
      <c r="BA133" s="35"/>
    </row>
    <row r="134" spans="1:53" ht="12" customHeight="1" x14ac:dyDescent="0.35">
      <c r="A134" s="34"/>
      <c r="B134" s="212"/>
      <c r="T134" s="8"/>
      <c r="Z134" s="35"/>
      <c r="AA134" s="28"/>
      <c r="AB134" s="34"/>
      <c r="AC134" s="212"/>
      <c r="AD134" s="10"/>
      <c r="AI134" s="8"/>
      <c r="AJ134" s="8"/>
      <c r="AK134" s="8"/>
      <c r="AL134" s="8"/>
      <c r="AM134" s="8"/>
      <c r="AN134" s="8"/>
      <c r="AO134" s="8"/>
      <c r="AP134" s="8"/>
      <c r="AU134" s="8"/>
      <c r="BA134" s="35"/>
    </row>
    <row r="135" spans="1:53" ht="50" customHeight="1" thickBot="1" x14ac:dyDescent="0.4">
      <c r="A135" s="34"/>
      <c r="C135" s="163"/>
      <c r="D135" s="175" t="s">
        <v>585</v>
      </c>
      <c r="E135" s="175" t="s">
        <v>587</v>
      </c>
      <c r="F135" s="175" t="s">
        <v>586</v>
      </c>
      <c r="G135" s="175" t="s">
        <v>588</v>
      </c>
      <c r="I135"/>
      <c r="J135"/>
      <c r="K135"/>
      <c r="L135"/>
      <c r="M135"/>
      <c r="N135"/>
      <c r="O135"/>
      <c r="Z135" s="35"/>
      <c r="AA135" s="28"/>
      <c r="AB135" s="34"/>
      <c r="AC135" s="15"/>
      <c r="AD135" s="163"/>
      <c r="AE135" s="175" t="s">
        <v>585</v>
      </c>
      <c r="AF135" s="175" t="s">
        <v>587</v>
      </c>
      <c r="AG135" s="175" t="s">
        <v>586</v>
      </c>
      <c r="AH135" s="175" t="s">
        <v>588</v>
      </c>
      <c r="AI135" s="8"/>
      <c r="BA135" s="35"/>
    </row>
    <row r="136" spans="1:53" ht="25.5" customHeight="1" x14ac:dyDescent="0.35">
      <c r="A136" s="34"/>
      <c r="C136" s="469" t="s">
        <v>322</v>
      </c>
      <c r="D136" s="463">
        <f>$G$157</f>
        <v>0</v>
      </c>
      <c r="E136" s="463" t="str">
        <f>IF(OR(ISBLANK($D$131),ISBLANK(INDEX(Tab_Gliederungselemente[],MATCH($D$131,Tab_Gliederungselemente[Bezeichnung Gliederungselement],0),4))),"k.A.",($D$136*1000)/INDEX(Tab_Gliederungselemente[],MATCH($D$131,Tab_Gliederungselemente[Bezeichnung Gliederungselement],0),4))</f>
        <v>k.A.</v>
      </c>
      <c r="F136" s="463" t="str">
        <f>IFERROR(($D$136*1000)/INDEX(Tab_Gliederungselemente[],MATCH($D$131,Tab_Gliederungselemente[Bezeichnung Gliederungselement],0),3),"k.A.")</f>
        <v>k.A.</v>
      </c>
      <c r="G136" s="463" t="str">
        <f>IFERROR(IF($D$5="ja",($D$136*1000)/(SUMIF(Anreise_Besuchende[Zuordnung Gliederungselement (Dropdown)],Ergebnisse!$D$131,Anreise_Besuchende[Besuchendenanzahl])),""),"k.A.")</f>
        <v>k.A.</v>
      </c>
      <c r="I136"/>
      <c r="J136"/>
      <c r="K136"/>
      <c r="L136"/>
      <c r="M136"/>
      <c r="N136"/>
      <c r="O136"/>
      <c r="Z136" s="35"/>
      <c r="AA136" s="28"/>
      <c r="AB136" s="34"/>
      <c r="AC136" s="15"/>
      <c r="AD136" s="469" t="s">
        <v>322</v>
      </c>
      <c r="AE136" s="463">
        <f>$AH$157</f>
        <v>0</v>
      </c>
      <c r="AF136" s="463" t="str">
        <f>IF(OR(ISBLANK($AE$131),ISBLANK(INDEX(Tab_Gliederungselemente[],MATCH($AE$131,Tab_Gliederungselemente[Bezeichnung Gliederungselement],0),4))),"k.A.",($AE$136*1000)/INDEX(Tab_Gliederungselemente[],MATCH($AE$131,Tab_Gliederungselemente[Bezeichnung Gliederungselement],0),4))</f>
        <v>k.A.</v>
      </c>
      <c r="AG136" s="463" t="str">
        <f>IFERROR(($AE$136*1000)/INDEX(Tab_Gliederungselemente[],MATCH($AE$131,Tab_Gliederungselemente[Bezeichnung Gliederungselement],0),3),"k.A.")</f>
        <v>k.A.</v>
      </c>
      <c r="AH136" s="463" t="str">
        <f>IFERROR(IF($AE$5="ja",($AE$136*1000)/(SUMIF(Anreise_Besuchende[Zuordnung Gliederungselement (Dropdown)],Ergebnisse!$AE$131,Anreise_Besuchende[Besuchendenanzahl])),""),"k.A.")</f>
        <v>k.A.</v>
      </c>
      <c r="AI136" s="8"/>
      <c r="BA136" s="35"/>
    </row>
    <row r="137" spans="1:53" ht="25.5" customHeight="1" x14ac:dyDescent="0.35">
      <c r="A137" s="34"/>
      <c r="C137" s="213" t="s">
        <v>320</v>
      </c>
      <c r="D137" s="293">
        <f>IF($D$5="ja",$G$162,"")</f>
        <v>0</v>
      </c>
      <c r="E137" s="293" t="str">
        <f>IF($D$5="ja",IF(OR(ISBLANK($D$131),ISBLANK(INDEX(Tab_Gliederungselemente[],MATCH($D$131,Tab_Gliederungselemente[Bezeichnung Gliederungselement],0),4))),"k.A.",($D$137*1000)/INDEX(Tab_Gliederungselemente[],MATCH($D$131,Tab_Gliederungselemente[Bezeichnung Gliederungselement],0),4)),"")</f>
        <v>k.A.</v>
      </c>
      <c r="F137" s="293" t="str">
        <f>IFERROR(IF($D$5="ja",($D$137*1000)/INDEX(Tab_Gliederungselemente[],MATCH($D$131,Tab_Gliederungselemente[Bezeichnung Gliederungselement],0),3),""),"k.A.")</f>
        <v>k.A.</v>
      </c>
      <c r="G137" s="293" t="str">
        <f>IFERROR(IF($D$5="ja",($D$137*1000)/(SUMIF(Anreise_Besuchende[Zuordnung Gliederungselement (Dropdown)],Ergebnisse!$D$131,Anreise_Besuchende[Besuchendenanzahl])),""),"k.A.")</f>
        <v>k.A.</v>
      </c>
      <c r="I137"/>
      <c r="J137"/>
      <c r="K137"/>
      <c r="L137"/>
      <c r="M137"/>
      <c r="N137"/>
      <c r="O137"/>
      <c r="Z137" s="35"/>
      <c r="AA137" s="28"/>
      <c r="AB137" s="34"/>
      <c r="AC137" s="15"/>
      <c r="AD137" s="213" t="s">
        <v>320</v>
      </c>
      <c r="AE137" s="293">
        <f>IF($AE$5="ja",$AH$162,"")</f>
        <v>0</v>
      </c>
      <c r="AF137" s="293" t="str">
        <f>IF($AE$5="ja",IF(OR(ISBLANK($AE$131),ISBLANK(INDEX(Tab_Gliederungselemente[],MATCH($AE$131,Tab_Gliederungselemente[Bezeichnung Gliederungselement],0),4))),"k.A.",($AE$137*1000)/INDEX(Tab_Gliederungselemente[],MATCH($AE$131,Tab_Gliederungselemente[Bezeichnung Gliederungselement],0),4)),"")</f>
        <v>k.A.</v>
      </c>
      <c r="AG137" s="293" t="str">
        <f>IFERROR(IF($AE$5="ja",($AE$137*1000)/INDEX(Tab_Gliederungselemente[],MATCH($AE$131,Tab_Gliederungselemente[Bezeichnung Gliederungselement],0),3),""),"k.A.")</f>
        <v>k.A.</v>
      </c>
      <c r="AH137" s="293" t="str">
        <f>IFERROR(IF($AE$5="ja",($AE$137*1000)/(SUMIF(Anreise_Besuchende[Zuordnung Gliederungselement (Dropdown)],Ergebnisse!$AE$131,Anreise_Besuchende[Besuchendenanzahl])),""),"k.A.")</f>
        <v>k.A.</v>
      </c>
      <c r="AI137" s="8"/>
      <c r="BA137" s="35"/>
    </row>
    <row r="138" spans="1:53" ht="25.5" customHeight="1" x14ac:dyDescent="0.35">
      <c r="A138" s="34"/>
      <c r="C138" s="214" t="s">
        <v>321</v>
      </c>
      <c r="D138" s="294">
        <f>IF($D$5="ja",SUM(D136:D137),"")</f>
        <v>0</v>
      </c>
      <c r="E138" s="294" t="str">
        <f>IF($D$5="ja",IF(OR(ISBLANK($D$131),ISBLANK(INDEX(Tab_Gliederungselemente[],MATCH($D$131,Tab_Gliederungselemente[Bezeichnung Gliederungselement],0),4))),"k.A.",($D$138*1000)/INDEX(Tab_Gliederungselemente[],MATCH($D$131,Tab_Gliederungselemente[Bezeichnung Gliederungselement],0),4)),"")</f>
        <v>k.A.</v>
      </c>
      <c r="F138" s="294" t="str">
        <f>IFERROR(IF($D$5="ja",($D$138*1000)/INDEX(Tab_Gliederungselemente[],MATCH($D$131,Tab_Gliederungselemente[Bezeichnung Gliederungselement],0),3),""),"k.A.")</f>
        <v>k.A.</v>
      </c>
      <c r="G138" s="294" t="str">
        <f>IFERROR(IF($D$5="ja",($D$138*1000)/(SUMIF(Anreise_Besuchende[Zuordnung Gliederungselement (Dropdown)],Ergebnisse!$D$131,Anreise_Besuchende[Besuchendenanzahl])),""),"k.A.")</f>
        <v>k.A.</v>
      </c>
      <c r="I138"/>
      <c r="J138"/>
      <c r="K138"/>
      <c r="L138"/>
      <c r="M138"/>
      <c r="N138"/>
      <c r="O138"/>
      <c r="Z138" s="35"/>
      <c r="AA138" s="28"/>
      <c r="AB138" s="34"/>
      <c r="AC138" s="15"/>
      <c r="AD138" s="214" t="s">
        <v>321</v>
      </c>
      <c r="AE138" s="294">
        <f>IF($AE$5="ja",SUM(AE136:AE137),"")</f>
        <v>0</v>
      </c>
      <c r="AF138" s="294" t="str">
        <f>IF($AE$5="ja",IF(OR(ISBLANK($AE$131),ISBLANK(INDEX(Tab_Gliederungselemente[],MATCH($AE$131,Tab_Gliederungselemente[Bezeichnung Gliederungselement],0),4))),"k.A.",($AE$138*1000)/INDEX(Tab_Gliederungselemente[],MATCH($AE$131,Tab_Gliederungselemente[Bezeichnung Gliederungselement],0),4)),"")</f>
        <v>k.A.</v>
      </c>
      <c r="AG138" s="294" t="str">
        <f>IFERROR(IF($AE$5="ja",($AE$138*1000)/INDEX(Tab_Gliederungselemente[],MATCH($AE$131,Tab_Gliederungselemente[Bezeichnung Gliederungselement],0),3),""),"k.A.")</f>
        <v>k.A.</v>
      </c>
      <c r="AH138" s="294" t="str">
        <f>IFERROR(IF($AE$5="ja",($AE$138*1000)/(SUMIF(Anreise_Besuchende[Zuordnung Gliederungselement (Dropdown)],Ergebnisse!$AE$131,Anreise_Besuchende[Besuchendenanzahl])),""),"k.A.")</f>
        <v>k.A.</v>
      </c>
      <c r="AI138" s="8"/>
      <c r="BA138" s="35"/>
    </row>
    <row r="139" spans="1:53" ht="27.75" customHeight="1" x14ac:dyDescent="0.35">
      <c r="A139" s="34"/>
      <c r="I139" s="42"/>
      <c r="J139" s="42"/>
      <c r="K139" s="42"/>
      <c r="L139" s="42"/>
      <c r="M139" s="42"/>
      <c r="N139" s="42"/>
      <c r="O139" s="42"/>
      <c r="P139" s="42"/>
      <c r="Q139" s="8"/>
      <c r="R139" s="8"/>
      <c r="S139" s="8"/>
      <c r="T139" s="8"/>
      <c r="U139" s="8"/>
      <c r="V139" s="8"/>
      <c r="Z139" s="35"/>
      <c r="AA139" s="28"/>
      <c r="AB139" s="34"/>
      <c r="AC139" s="15"/>
      <c r="AD139" s="10"/>
      <c r="AI139" s="8"/>
      <c r="AJ139" s="42"/>
      <c r="AK139" s="42"/>
      <c r="AL139" s="42"/>
      <c r="AM139" s="42"/>
      <c r="AN139" s="42"/>
      <c r="AO139" s="42"/>
      <c r="AP139" s="42"/>
      <c r="AQ139" s="42"/>
      <c r="AR139" s="8"/>
      <c r="AS139" s="8"/>
      <c r="AT139" s="8"/>
      <c r="AU139" s="8"/>
      <c r="AV139" s="8"/>
      <c r="AW139" s="8"/>
      <c r="BA139" s="35"/>
    </row>
    <row r="140" spans="1:53" ht="18.75" customHeight="1" thickBot="1" x14ac:dyDescent="0.4">
      <c r="A140" s="34"/>
      <c r="C140" s="177"/>
      <c r="D140" s="648" t="s">
        <v>314</v>
      </c>
      <c r="E140" s="648"/>
      <c r="F140" s="174" t="s">
        <v>204</v>
      </c>
      <c r="G140" s="174" t="s">
        <v>205</v>
      </c>
      <c r="I140" s="42"/>
      <c r="J140" s="42"/>
      <c r="K140" s="42"/>
      <c r="L140" s="42"/>
      <c r="M140" s="42"/>
      <c r="N140" s="42"/>
      <c r="O140" s="42"/>
      <c r="P140" s="42"/>
      <c r="Q140" s="8"/>
      <c r="R140" s="8"/>
      <c r="S140" s="8"/>
      <c r="T140" s="8"/>
      <c r="U140" s="8"/>
      <c r="V140" s="8"/>
      <c r="Z140" s="35"/>
      <c r="AA140" s="28"/>
      <c r="AB140" s="34"/>
      <c r="AC140" s="15"/>
      <c r="AD140" s="177"/>
      <c r="AE140" s="648" t="s">
        <v>314</v>
      </c>
      <c r="AF140" s="648"/>
      <c r="AG140" s="174" t="s">
        <v>204</v>
      </c>
      <c r="AH140" s="174" t="s">
        <v>205</v>
      </c>
      <c r="AI140" s="8"/>
      <c r="AJ140" s="42"/>
      <c r="AK140" s="42"/>
      <c r="AL140" s="42"/>
      <c r="AM140" s="42"/>
      <c r="AN140" s="42"/>
      <c r="AO140" s="42"/>
      <c r="AP140" s="42"/>
      <c r="AQ140" s="42"/>
      <c r="AR140" s="8"/>
      <c r="AS140" s="8"/>
      <c r="AT140" s="8"/>
      <c r="AU140" s="8"/>
      <c r="AV140" s="8"/>
      <c r="AW140" s="8"/>
      <c r="BA140" s="35"/>
    </row>
    <row r="141" spans="1:53" ht="18.75" customHeight="1" x14ac:dyDescent="0.35">
      <c r="A141" s="34"/>
      <c r="C141" s="638" t="s">
        <v>203</v>
      </c>
      <c r="D141" s="649" t="s">
        <v>195</v>
      </c>
      <c r="E141" s="649"/>
      <c r="F141" s="176">
        <f>IF($D$6="ja",IFERROR(SUMIF(Papierverbrauch_Büro[Zuordnung Gliederungselement (Dropdown)],$D$131,Papierverbrauch_Büro[Papierverbrauch 
(Anzahl Blatt Papier)]),""),"")</f>
        <v>0</v>
      </c>
      <c r="G141" s="176" t="str">
        <f>IF($D$6="ja","Blatt Papier","")</f>
        <v>Blatt Papier</v>
      </c>
      <c r="I141" s="42"/>
      <c r="J141" s="42"/>
      <c r="K141" s="42"/>
      <c r="L141" s="42"/>
      <c r="M141" s="42"/>
      <c r="N141" s="42"/>
      <c r="O141" s="42"/>
      <c r="P141" s="42"/>
      <c r="Q141" s="8"/>
      <c r="R141" s="8"/>
      <c r="S141" s="8"/>
      <c r="T141" s="8"/>
      <c r="U141" s="8"/>
      <c r="V141" s="8"/>
      <c r="Z141" s="35"/>
      <c r="AA141" s="28"/>
      <c r="AB141" s="34"/>
      <c r="AC141" s="15"/>
      <c r="AD141" s="638" t="s">
        <v>203</v>
      </c>
      <c r="AE141" s="649" t="s">
        <v>195</v>
      </c>
      <c r="AF141" s="649"/>
      <c r="AG141" s="176">
        <f>IF($AE$6="ja",IFERROR(SUMIF(Papierverbrauch_Büro[Zuordnung Gliederungselement (Dropdown)],$AE$131,Papierverbrauch_Büro[Papierverbrauch 
(Anzahl Blatt Papier)]),""),"")</f>
        <v>0</v>
      </c>
      <c r="AH141" s="176" t="str">
        <f>IF($AE$6="ja","Blatt Papier","")</f>
        <v>Blatt Papier</v>
      </c>
      <c r="AI141" s="8"/>
      <c r="AJ141" s="42"/>
      <c r="AK141" s="42"/>
      <c r="AL141" s="42"/>
      <c r="AM141" s="42"/>
      <c r="AN141" s="42"/>
      <c r="AO141" s="42"/>
      <c r="AP141" s="42"/>
      <c r="AQ141" s="42"/>
      <c r="AR141" s="8"/>
      <c r="AS141" s="8"/>
      <c r="AT141" s="8"/>
      <c r="AU141" s="8"/>
      <c r="AV141" s="8"/>
      <c r="AW141" s="8"/>
      <c r="BA141" s="35"/>
    </row>
    <row r="142" spans="1:53" ht="18.75" customHeight="1" x14ac:dyDescent="0.35">
      <c r="A142" s="34"/>
      <c r="C142" s="639"/>
      <c r="D142" s="650" t="s">
        <v>198</v>
      </c>
      <c r="E142" s="650"/>
      <c r="F142" s="165">
        <f>IF($D$6="ja",IFERROR(SUMIF(Druck_und_Werbematerialien[Zuordnung Gliederungselement (Dropdown)],$D$131,Druck_und_Werbematerialien[Druck- und Werbematerialien
(Kilogramm)]),""),"")</f>
        <v>0</v>
      </c>
      <c r="G142" s="165" t="str">
        <f>IF($D$6="ja","kg","")</f>
        <v>kg</v>
      </c>
      <c r="I142" s="42"/>
      <c r="J142" s="42"/>
      <c r="K142" s="42"/>
      <c r="L142" s="42"/>
      <c r="M142" s="42"/>
      <c r="N142" s="42"/>
      <c r="O142" s="42"/>
      <c r="P142" s="42"/>
      <c r="Q142" s="8"/>
      <c r="R142" s="8"/>
      <c r="S142" s="8"/>
      <c r="T142" s="8"/>
      <c r="U142" s="8"/>
      <c r="V142" s="8"/>
      <c r="Z142" s="35"/>
      <c r="AA142" s="28"/>
      <c r="AB142" s="34"/>
      <c r="AC142" s="15"/>
      <c r="AD142" s="639"/>
      <c r="AE142" s="650" t="s">
        <v>198</v>
      </c>
      <c r="AF142" s="650"/>
      <c r="AG142" s="165">
        <f>IF($AE$6="ja",IFERROR(SUMIF(Druck_und_Werbematerialien[Zuordnung Gliederungselement (Dropdown)],$AE$131,Druck_und_Werbematerialien[Druck- und Werbematerialien
(Kilogramm)]),""),"")</f>
        <v>0</v>
      </c>
      <c r="AH142" s="165" t="str">
        <f>IF($AE$6="ja","kg","")</f>
        <v>kg</v>
      </c>
      <c r="AI142" s="8"/>
      <c r="AJ142" s="42"/>
      <c r="AK142" s="42"/>
      <c r="AL142" s="42"/>
      <c r="AM142" s="42"/>
      <c r="AN142" s="42"/>
      <c r="AO142" s="42"/>
      <c r="AP142" s="42"/>
      <c r="AQ142" s="42"/>
      <c r="AR142" s="8"/>
      <c r="AS142" s="8"/>
      <c r="AT142" s="8"/>
      <c r="AU142" s="8"/>
      <c r="AV142" s="8"/>
      <c r="AW142" s="8"/>
      <c r="BA142" s="35"/>
    </row>
    <row r="143" spans="1:53" ht="18.75" customHeight="1" x14ac:dyDescent="0.35">
      <c r="A143" s="34"/>
      <c r="C143" s="639"/>
      <c r="D143" s="650" t="s">
        <v>196</v>
      </c>
      <c r="E143" s="650"/>
      <c r="F143" s="165">
        <f>IF($D$6="ja",IFERROR(SUMIF(Verpackungsmaterialien[Zuordnung Gliederungselement (Dropdown)],$D$131,Verpackungsmaterialien[Vepackungsmaterialien 
(Kilogramm)]),""),"")</f>
        <v>0</v>
      </c>
      <c r="G143" s="165" t="str">
        <f>IF($D$6="ja","kg","")</f>
        <v>kg</v>
      </c>
      <c r="I143" s="42"/>
      <c r="J143" s="42"/>
      <c r="K143" s="42"/>
      <c r="L143" s="42"/>
      <c r="M143" s="42"/>
      <c r="N143" s="42"/>
      <c r="O143" s="42"/>
      <c r="P143" s="42"/>
      <c r="Q143" s="8"/>
      <c r="R143" s="8"/>
      <c r="S143" s="8"/>
      <c r="T143" s="8"/>
      <c r="U143" s="8"/>
      <c r="V143" s="8"/>
      <c r="Z143" s="35"/>
      <c r="AA143" s="28"/>
      <c r="AB143" s="34"/>
      <c r="AC143" s="15"/>
      <c r="AD143" s="639"/>
      <c r="AE143" s="650" t="s">
        <v>196</v>
      </c>
      <c r="AF143" s="650"/>
      <c r="AG143" s="165">
        <f>IF($AE$6="ja",IFERROR(SUMIF(Verpackungsmaterialien[Zuordnung Gliederungselement (Dropdown)],$AE$131,Verpackungsmaterialien[Vepackungsmaterialien 
(Kilogramm)]),""),"")</f>
        <v>0</v>
      </c>
      <c r="AH143" s="165" t="str">
        <f>IF($AE$6="ja","kg","")</f>
        <v>kg</v>
      </c>
      <c r="AI143" s="8"/>
      <c r="AJ143" s="42"/>
      <c r="AK143" s="42"/>
      <c r="AL143" s="42"/>
      <c r="AM143" s="42"/>
      <c r="AN143" s="42"/>
      <c r="AO143" s="42"/>
      <c r="AP143" s="42"/>
      <c r="AQ143" s="42"/>
      <c r="AR143" s="8"/>
      <c r="AS143" s="8"/>
      <c r="AT143" s="8"/>
      <c r="AU143" s="8"/>
      <c r="AV143" s="8"/>
      <c r="AW143" s="8"/>
      <c r="BA143" s="35"/>
    </row>
    <row r="144" spans="1:53" ht="18.75" customHeight="1" x14ac:dyDescent="0.35">
      <c r="A144" s="34"/>
      <c r="C144" s="639"/>
      <c r="D144" s="650" t="s">
        <v>199</v>
      </c>
      <c r="E144" s="650"/>
      <c r="F144" s="165">
        <f>IF($D$6="ja",IFERROR(SUMIF(Wasserverbrauch[Zuordnung Gliederungselement (Dropdown)],$D$131,Wasserverbrauch[Wasserverbrauch (m3)]),""),"")</f>
        <v>0</v>
      </c>
      <c r="G144" s="166" t="str">
        <f>IF($D$6="ja","m3","")</f>
        <v>m3</v>
      </c>
      <c r="I144" s="42"/>
      <c r="J144" s="42"/>
      <c r="K144" s="42"/>
      <c r="L144" s="42"/>
      <c r="M144" s="42"/>
      <c r="N144" s="42"/>
      <c r="O144" s="42"/>
      <c r="P144" s="42"/>
      <c r="Q144" s="8"/>
      <c r="R144" s="8"/>
      <c r="S144" s="8"/>
      <c r="T144" s="8"/>
      <c r="U144" s="8"/>
      <c r="V144" s="8"/>
      <c r="Z144" s="35"/>
      <c r="AA144" s="28"/>
      <c r="AB144" s="34"/>
      <c r="AC144" s="15"/>
      <c r="AD144" s="639"/>
      <c r="AE144" s="650" t="s">
        <v>199</v>
      </c>
      <c r="AF144" s="650"/>
      <c r="AG144" s="165">
        <f>IF($AE$6="ja",IFERROR(SUMIF(Wasserverbrauch[Zuordnung Gliederungselement (Dropdown)],$AE$131,Wasserverbrauch[Wasserverbrauch (m3)]),""),"")</f>
        <v>0</v>
      </c>
      <c r="AH144" s="166" t="str">
        <f>IF($AE$6="ja","m3","")</f>
        <v>m3</v>
      </c>
      <c r="AI144" s="8"/>
      <c r="AJ144" s="42"/>
      <c r="AK144" s="42"/>
      <c r="AL144" s="42"/>
      <c r="AM144" s="42"/>
      <c r="AN144" s="42"/>
      <c r="AO144" s="42"/>
      <c r="AP144" s="42"/>
      <c r="AQ144" s="42"/>
      <c r="AR144" s="8"/>
      <c r="AS144" s="8"/>
      <c r="AT144" s="8"/>
      <c r="AU144" s="8"/>
      <c r="AV144" s="8"/>
      <c r="AW144" s="8"/>
      <c r="BA144" s="35"/>
    </row>
    <row r="145" spans="1:53" ht="27.75" customHeight="1" thickBot="1" x14ac:dyDescent="0.4">
      <c r="A145" s="43"/>
      <c r="B145" s="44"/>
      <c r="C145" s="218"/>
      <c r="D145" s="219"/>
      <c r="E145" s="219"/>
      <c r="F145" s="220"/>
      <c r="G145" s="44"/>
      <c r="H145" s="47"/>
      <c r="I145" s="221"/>
      <c r="J145" s="221"/>
      <c r="K145" s="221"/>
      <c r="L145" s="221"/>
      <c r="M145" s="221"/>
      <c r="N145" s="221"/>
      <c r="O145" s="221"/>
      <c r="P145" s="221"/>
      <c r="Q145" s="47"/>
      <c r="R145" s="47"/>
      <c r="S145" s="47"/>
      <c r="T145" s="47"/>
      <c r="U145" s="47"/>
      <c r="V145" s="47"/>
      <c r="W145" s="46"/>
      <c r="X145" s="46"/>
      <c r="Y145" s="46"/>
      <c r="Z145" s="48"/>
      <c r="AA145" s="425"/>
      <c r="AB145" s="43"/>
      <c r="AC145" s="44"/>
      <c r="AD145" s="218"/>
      <c r="AE145" s="219"/>
      <c r="AF145" s="219"/>
      <c r="AG145" s="220"/>
      <c r="AH145" s="44"/>
      <c r="AI145" s="47"/>
      <c r="AJ145" s="221"/>
      <c r="AK145" s="221"/>
      <c r="AL145" s="221"/>
      <c r="AM145" s="221"/>
      <c r="AN145" s="221"/>
      <c r="AO145" s="221"/>
      <c r="AP145" s="221"/>
      <c r="AQ145" s="221"/>
      <c r="AR145" s="47"/>
      <c r="AS145" s="47"/>
      <c r="AT145" s="47"/>
      <c r="AU145" s="47"/>
      <c r="AV145" s="47"/>
      <c r="AW145" s="47"/>
      <c r="AX145" s="46"/>
      <c r="AY145" s="46"/>
      <c r="AZ145" s="46"/>
      <c r="BA145" s="48"/>
    </row>
    <row r="146" spans="1:53" s="9" customFormat="1" ht="24" customHeight="1" x14ac:dyDescent="0.35">
      <c r="A146" s="37"/>
      <c r="B146" s="211" t="s">
        <v>327</v>
      </c>
      <c r="C146" s="38"/>
      <c r="D146" s="264" t="str">
        <f>IF(ISBLANK($D$131),"",$D$131)</f>
        <v/>
      </c>
      <c r="H146" s="49"/>
      <c r="I146" s="42"/>
      <c r="J146" s="42"/>
      <c r="K146" s="42"/>
      <c r="L146" s="42"/>
      <c r="M146" s="42"/>
      <c r="N146" s="42"/>
      <c r="O146" s="42"/>
      <c r="P146" s="42"/>
      <c r="Q146" s="42"/>
      <c r="R146" s="42"/>
      <c r="S146" s="42"/>
      <c r="T146" s="49"/>
      <c r="U146" s="49"/>
      <c r="V146" s="39"/>
      <c r="Z146" s="40"/>
      <c r="AA146" s="426"/>
      <c r="AB146" s="37"/>
      <c r="AC146" s="211" t="s">
        <v>327</v>
      </c>
      <c r="AD146" s="38"/>
      <c r="AE146" s="264" t="str">
        <f>IF(ISBLANK($AE$131),"",$AE$131)</f>
        <v/>
      </c>
      <c r="AI146" s="49"/>
      <c r="AJ146" s="42"/>
      <c r="AK146" s="42"/>
      <c r="AL146" s="42"/>
      <c r="AM146" s="42"/>
      <c r="AN146" s="42"/>
      <c r="AO146" s="42"/>
      <c r="AP146" s="42"/>
      <c r="AQ146" s="42"/>
      <c r="AR146" s="42"/>
      <c r="AS146" s="42"/>
      <c r="AT146" s="42"/>
      <c r="AU146" s="49"/>
      <c r="AV146" s="49"/>
      <c r="AW146" s="39"/>
      <c r="BA146" s="40"/>
    </row>
    <row r="147" spans="1:53" s="9" customFormat="1" ht="12" customHeight="1" x14ac:dyDescent="0.35">
      <c r="A147" s="37"/>
      <c r="B147" s="212"/>
      <c r="C147" s="38"/>
      <c r="H147" s="49"/>
      <c r="I147" s="42"/>
      <c r="J147" s="42"/>
      <c r="K147" s="42"/>
      <c r="L147" s="42"/>
      <c r="M147" s="42"/>
      <c r="N147" s="42"/>
      <c r="O147" s="42"/>
      <c r="P147" s="42"/>
      <c r="Q147" s="42"/>
      <c r="R147" s="42"/>
      <c r="S147" s="42"/>
      <c r="T147" s="49"/>
      <c r="U147" s="49"/>
      <c r="V147" s="39"/>
      <c r="Z147" s="40"/>
      <c r="AA147" s="426"/>
      <c r="AB147" s="37"/>
      <c r="AC147" s="212"/>
      <c r="AD147" s="38"/>
      <c r="AI147" s="49"/>
      <c r="AJ147" s="42"/>
      <c r="AK147" s="42"/>
      <c r="AL147" s="42"/>
      <c r="AM147" s="42"/>
      <c r="AN147" s="42"/>
      <c r="AO147" s="42"/>
      <c r="AP147" s="42"/>
      <c r="AQ147" s="42"/>
      <c r="AR147" s="42"/>
      <c r="AS147" s="42"/>
      <c r="AT147" s="42"/>
      <c r="AU147" s="49"/>
      <c r="AV147" s="49"/>
      <c r="AW147" s="39"/>
      <c r="BA147" s="40"/>
    </row>
    <row r="148" spans="1:53" ht="31.5" thickBot="1" x14ac:dyDescent="0.4">
      <c r="A148" s="34"/>
      <c r="B148" s="167"/>
      <c r="C148" s="174" t="s">
        <v>314</v>
      </c>
      <c r="D148" s="174" t="s">
        <v>282</v>
      </c>
      <c r="E148" s="174" t="s">
        <v>283</v>
      </c>
      <c r="F148" s="174" t="s">
        <v>284</v>
      </c>
      <c r="G148" s="480" t="s">
        <v>285</v>
      </c>
      <c r="H148" s="341" t="s">
        <v>607</v>
      </c>
      <c r="I148" s="333" t="s">
        <v>212</v>
      </c>
      <c r="J148" s="333" t="s">
        <v>213</v>
      </c>
      <c r="K148" s="333" t="s">
        <v>121</v>
      </c>
      <c r="L148" s="333" t="s">
        <v>122</v>
      </c>
      <c r="M148" s="333" t="s">
        <v>123</v>
      </c>
      <c r="N148" s="333" t="s">
        <v>124</v>
      </c>
      <c r="O148" s="42"/>
      <c r="P148" s="42"/>
      <c r="Q148" s="42"/>
      <c r="R148" s="42"/>
      <c r="S148" s="42"/>
      <c r="T148" s="42"/>
      <c r="U148" s="42"/>
      <c r="V148" s="8"/>
      <c r="Z148" s="35"/>
      <c r="AA148" s="28"/>
      <c r="AB148" s="34"/>
      <c r="AC148" s="167"/>
      <c r="AD148" s="174" t="s">
        <v>314</v>
      </c>
      <c r="AE148" s="174" t="s">
        <v>282</v>
      </c>
      <c r="AF148" s="174" t="s">
        <v>283</v>
      </c>
      <c r="AG148" s="174" t="s">
        <v>284</v>
      </c>
      <c r="AH148" s="174" t="s">
        <v>285</v>
      </c>
      <c r="AI148" s="341" t="s">
        <v>607</v>
      </c>
      <c r="AJ148" s="333" t="s">
        <v>212</v>
      </c>
      <c r="AK148" s="333" t="s">
        <v>213</v>
      </c>
      <c r="AL148" s="333" t="s">
        <v>121</v>
      </c>
      <c r="AM148" s="333" t="s">
        <v>122</v>
      </c>
      <c r="AN148" s="333" t="s">
        <v>123</v>
      </c>
      <c r="AO148" s="333" t="s">
        <v>124</v>
      </c>
      <c r="AP148" s="42"/>
      <c r="AQ148" s="42"/>
      <c r="AR148" s="42"/>
      <c r="AS148" s="42"/>
      <c r="AT148" s="42"/>
      <c r="AU148" s="42"/>
      <c r="AV148" s="42"/>
      <c r="AW148" s="8"/>
      <c r="BA148" s="35"/>
    </row>
    <row r="149" spans="1:53" s="9" customFormat="1" ht="18.75" customHeight="1" x14ac:dyDescent="0.35">
      <c r="A149" s="37"/>
      <c r="B149" s="637" t="s">
        <v>315</v>
      </c>
      <c r="C149" s="462" t="s">
        <v>11</v>
      </c>
      <c r="D149" s="463">
        <f>IFERROR(SUMIF(Wärme[Zuordnung Gliederungselement (Dropdown)],Ergebnisse!$D$131,Wärme[Scope 1 CO2e '[kg CO2e']])/1000,"")</f>
        <v>0</v>
      </c>
      <c r="E149" s="463">
        <f>IFERROR(SUMIF(Wärme[Zuordnung Gliederungselement (Dropdown)],Ergebnisse!$D$131,Wärme[Scope 2 CO2e '[kg CO2e']])/1000,"")</f>
        <v>0</v>
      </c>
      <c r="F149" s="463">
        <f>IFERROR(SUMIF(Wärme[Zuordnung Gliederungselement (Dropdown)],Ergebnisse!$D$131,Wärme[Scope 3 CO2e '[kg CO2e']])/1000,"")</f>
        <v>0</v>
      </c>
      <c r="G149" s="481">
        <f t="shared" ref="G149:G156" si="21">SUM(D149:F149)</f>
        <v>0</v>
      </c>
      <c r="H149" s="496" t="e">
        <f t="shared" ref="H149:H156" si="22">IF($D$5="nein",G149/G$157,G149/G$163)</f>
        <v>#DIV/0!</v>
      </c>
      <c r="I149" s="49"/>
      <c r="J149" s="49"/>
      <c r="K149" s="49" t="str">
        <f>VLOOKUP($C149,Sektor_Thema[],6,FALSE)</f>
        <v>Kat. 1</v>
      </c>
      <c r="L149" s="49" t="str">
        <f>VLOOKUP($C149,Sektor_Thema[],7,FALSE)</f>
        <v>Kat. 2</v>
      </c>
      <c r="M149" s="49" t="str">
        <f>VLOOKUP($C149,Sektor_Thema[],8,FALSE)</f>
        <v>Kat. 3</v>
      </c>
      <c r="N149" s="49" t="str">
        <f>VLOOKUP($C149,Sektor_Thema[],9,FALSE)</f>
        <v>-</v>
      </c>
      <c r="O149" s="49"/>
      <c r="P149" s="49"/>
      <c r="Q149" s="49"/>
      <c r="R149" s="49"/>
      <c r="S149" s="49"/>
      <c r="T149" s="49"/>
      <c r="U149" s="49"/>
      <c r="V149" s="39"/>
      <c r="Z149" s="40"/>
      <c r="AA149" s="426"/>
      <c r="AB149" s="37"/>
      <c r="AC149" s="637" t="s">
        <v>315</v>
      </c>
      <c r="AD149" s="462" t="s">
        <v>11</v>
      </c>
      <c r="AE149" s="463">
        <f>IFERROR(SUMIF(Wärme[Zuordnung Gliederungselement (Dropdown)],Ergebnisse!$AE$131,Wärme[Scope 1 CO2e '[kg CO2e']])/1000,"")</f>
        <v>0</v>
      </c>
      <c r="AF149" s="463">
        <f>IFERROR(SUMIF(Wärme[Zuordnung Gliederungselement (Dropdown)],Ergebnisse!$AE$131,Wärme[Scope 2 CO2e '[kg CO2e']])/1000,"")</f>
        <v>0</v>
      </c>
      <c r="AG149" s="463">
        <f>IFERROR(SUMIF(Wärme[Zuordnung Gliederungselement (Dropdown)],Ergebnisse!$AE$131,Wärme[Scope 3 CO2e '[kg CO2e']])/1000,"")</f>
        <v>0</v>
      </c>
      <c r="AH149" s="463">
        <f t="shared" ref="AH149:AH156" si="23">SUM(AE149:AG149)</f>
        <v>0</v>
      </c>
      <c r="AI149" s="496" t="e">
        <f t="shared" ref="AI149:AI156" si="24">IF($AE$5="nein",AH149/AH$157,AH149/AH$163)</f>
        <v>#DIV/0!</v>
      </c>
      <c r="AJ149" s="49"/>
      <c r="AK149" s="49"/>
      <c r="AL149" s="49" t="str">
        <f>VLOOKUP($C149,Sektor_Thema[],6,FALSE)</f>
        <v>Kat. 1</v>
      </c>
      <c r="AM149" s="49" t="str">
        <f>VLOOKUP($C149,Sektor_Thema[],7,FALSE)</f>
        <v>Kat. 2</v>
      </c>
      <c r="AN149" s="49" t="str">
        <f>VLOOKUP($C149,Sektor_Thema[],8,FALSE)</f>
        <v>Kat. 3</v>
      </c>
      <c r="AO149" s="49" t="str">
        <f>VLOOKUP($C149,Sektor_Thema[],9,FALSE)</f>
        <v>-</v>
      </c>
      <c r="AP149" s="49"/>
      <c r="AQ149" s="49"/>
      <c r="AR149" s="49"/>
      <c r="AS149" s="49"/>
      <c r="AT149" s="49"/>
      <c r="AU149" s="49"/>
      <c r="AV149" s="49"/>
      <c r="AW149" s="39"/>
      <c r="BA149" s="40"/>
    </row>
    <row r="150" spans="1:53" s="9" customFormat="1" ht="18.75" customHeight="1" x14ac:dyDescent="0.35">
      <c r="A150" s="37"/>
      <c r="B150" s="637"/>
      <c r="C150" s="464" t="s">
        <v>15</v>
      </c>
      <c r="D150" s="465">
        <f>IFERROR(SUMIF(Strom[Zuordnung Gliederungselement (Dropdown)],Ergebnisse!$D$131,Strom[Scope 1 CO2e '[kg CO2e']])/1000,"")</f>
        <v>0</v>
      </c>
      <c r="E150" s="465">
        <f>IFERROR(SUMIF(Strom[Zuordnung Gliederungselement (Dropdown)],Ergebnisse!$D$131,Strom[Scope 2 CO2e '[kg CO2e']])/1000,"")</f>
        <v>0</v>
      </c>
      <c r="F150" s="465">
        <f>IFERROR(SUMIF(Strom[Zuordnung Gliederungselement (Dropdown)],Ergebnisse!$D$131,Strom[Scope 3 CO2e '[kg CO2e']])/1000,"")</f>
        <v>0</v>
      </c>
      <c r="G150" s="482">
        <f t="shared" si="21"/>
        <v>0</v>
      </c>
      <c r="H150" s="496" t="e">
        <f t="shared" si="22"/>
        <v>#DIV/0!</v>
      </c>
      <c r="I150" s="49"/>
      <c r="J150" s="49"/>
      <c r="K150" s="49" t="str">
        <f>VLOOKUP($C150,Sektor_Thema[],6,FALSE)</f>
        <v>Kat. 1</v>
      </c>
      <c r="L150" s="49" t="str">
        <f>VLOOKUP($C150,Sektor_Thema[],7,FALSE)</f>
        <v>Kat. 1</v>
      </c>
      <c r="M150" s="49" t="str">
        <f>VLOOKUP($C150,Sektor_Thema[],8,FALSE)</f>
        <v>Kat. 3</v>
      </c>
      <c r="N150" s="49" t="str">
        <f>VLOOKUP($C150,Sektor_Thema[],9,FALSE)</f>
        <v>-</v>
      </c>
      <c r="O150" s="49"/>
      <c r="P150" s="49"/>
      <c r="Q150" s="49"/>
      <c r="R150" s="49"/>
      <c r="S150" s="49"/>
      <c r="T150" s="49"/>
      <c r="U150" s="49"/>
      <c r="V150" s="39"/>
      <c r="Z150" s="40"/>
      <c r="AA150" s="426"/>
      <c r="AB150" s="37"/>
      <c r="AC150" s="637"/>
      <c r="AD150" s="464" t="s">
        <v>15</v>
      </c>
      <c r="AE150" s="465">
        <f>IFERROR(SUMIF(Strom[Zuordnung Gliederungselement (Dropdown)],Ergebnisse!$AE$131,Strom[Scope 1 CO2e '[kg CO2e']])/1000,"")</f>
        <v>0</v>
      </c>
      <c r="AF150" s="463">
        <f>IFERROR(SUMIF(Strom[Zuordnung Gliederungselement (Dropdown)],Ergebnisse!$AE$131,Strom[Scope 2 CO2e market-based '[kg CO2e']])/1000,"")</f>
        <v>0</v>
      </c>
      <c r="AG150" s="465">
        <f>IFERROR(SUMIF(Strom[Zuordnung Gliederungselement (Dropdown)],Ergebnisse!$AE$131,Strom[Scope 3 CO2e '[kg CO2e']])/1000,"")</f>
        <v>0</v>
      </c>
      <c r="AH150" s="465">
        <f t="shared" si="23"/>
        <v>0</v>
      </c>
      <c r="AI150" s="496" t="e">
        <f t="shared" si="24"/>
        <v>#DIV/0!</v>
      </c>
      <c r="AJ150" s="49"/>
      <c r="AK150" s="49"/>
      <c r="AL150" s="49" t="str">
        <f>VLOOKUP($C150,Sektor_Thema[],6,FALSE)</f>
        <v>Kat. 1</v>
      </c>
      <c r="AM150" s="49" t="str">
        <f>VLOOKUP($C150,Sektor_Thema[],7,FALSE)</f>
        <v>Kat. 1</v>
      </c>
      <c r="AN150" s="49" t="str">
        <f>VLOOKUP($C150,Sektor_Thema[],8,FALSE)</f>
        <v>Kat. 3</v>
      </c>
      <c r="AO150" s="49" t="str">
        <f>VLOOKUP($C150,Sektor_Thema[],9,FALSE)</f>
        <v>-</v>
      </c>
      <c r="AP150" s="49"/>
      <c r="AQ150" s="49"/>
      <c r="AR150" s="49"/>
      <c r="AS150" s="49"/>
      <c r="AT150" s="49"/>
      <c r="AU150" s="49"/>
      <c r="AV150" s="49"/>
      <c r="AW150" s="39"/>
      <c r="BA150" s="40"/>
    </row>
    <row r="151" spans="1:53" s="9" customFormat="1" ht="18.75" customHeight="1" x14ac:dyDescent="0.35">
      <c r="A151" s="37"/>
      <c r="B151" s="637"/>
      <c r="C151" s="464" t="s">
        <v>13</v>
      </c>
      <c r="D151" s="465">
        <f>IFERROR(SUMIF(Kühl_und_Kältemittel[Zuordnung Gliederungselement (Dropdown)],Ergebnisse!$D$131,Kühl_und_Kältemittel[Scope 1 CO2e '[kg CO2e']])/1000,"")</f>
        <v>0</v>
      </c>
      <c r="E151" s="465">
        <f>IFERROR(SUMIF(Kühl_und_Kältemittel[Zuordnung Gliederungselement (Dropdown)],Ergebnisse!$D$131,Kühl_und_Kältemittel[Scope 2 CO2e '[kg CO2e']])/1000,"")</f>
        <v>0</v>
      </c>
      <c r="F151" s="465">
        <f>IFERROR(SUMIF(Kühl_und_Kältemittel[Zuordnung Gliederungselement (Dropdown)],Ergebnisse!$D$131,Kühl_und_Kältemittel[Scope 3 CO2e '[kg CO2e']])/1000,"")</f>
        <v>0</v>
      </c>
      <c r="G151" s="482">
        <f t="shared" si="21"/>
        <v>0</v>
      </c>
      <c r="H151" s="496" t="e">
        <f t="shared" si="22"/>
        <v>#DIV/0!</v>
      </c>
      <c r="I151" s="49"/>
      <c r="J151" s="49"/>
      <c r="K151" s="49" t="str">
        <f>VLOOKUP($C151,Sektor_Thema[],6,FALSE)</f>
        <v>Kat. 4</v>
      </c>
      <c r="L151" s="49" t="str">
        <f>VLOOKUP($C151,Sektor_Thema[],7,FALSE)</f>
        <v>-</v>
      </c>
      <c r="M151" s="49" t="str">
        <f>VLOOKUP($C151,Sektor_Thema[],8,FALSE)</f>
        <v>-</v>
      </c>
      <c r="N151" s="49" t="str">
        <f>VLOOKUP($C151,Sektor_Thema[],9,FALSE)</f>
        <v>-</v>
      </c>
      <c r="O151" s="49"/>
      <c r="P151" s="49"/>
      <c r="Q151" s="49"/>
      <c r="R151" s="49"/>
      <c r="S151" s="49"/>
      <c r="T151" s="49"/>
      <c r="U151" s="49"/>
      <c r="V151" s="39"/>
      <c r="Z151" s="40"/>
      <c r="AA151" s="426"/>
      <c r="AB151" s="37"/>
      <c r="AC151" s="637"/>
      <c r="AD151" s="464" t="s">
        <v>13</v>
      </c>
      <c r="AE151" s="465">
        <f>IFERROR(SUMIF(Kühl_und_Kältemittel[Zuordnung Gliederungselement (Dropdown)],Ergebnisse!$AE$131,Kühl_und_Kältemittel[Scope 1 CO2e '[kg CO2e']])/1000,"")</f>
        <v>0</v>
      </c>
      <c r="AF151" s="465">
        <f>IFERROR(SUMIF(Kühl_und_Kältemittel[Zuordnung Gliederungselement (Dropdown)],Ergebnisse!$AE$131,Kühl_und_Kältemittel[Scope 2 CO2e '[kg CO2e']])/1000,"")</f>
        <v>0</v>
      </c>
      <c r="AG151" s="465">
        <f>IFERROR(SUMIF(Kühl_und_Kältemittel[Zuordnung Gliederungselement (Dropdown)],Ergebnisse!$AE$131,Kühl_und_Kältemittel[Scope 3 CO2e '[kg CO2e']])/1000,"")</f>
        <v>0</v>
      </c>
      <c r="AH151" s="465">
        <f t="shared" si="23"/>
        <v>0</v>
      </c>
      <c r="AI151" s="496" t="e">
        <f t="shared" si="24"/>
        <v>#DIV/0!</v>
      </c>
      <c r="AJ151" s="49"/>
      <c r="AK151" s="49"/>
      <c r="AL151" s="49" t="str">
        <f>VLOOKUP($C151,Sektor_Thema[],6,FALSE)</f>
        <v>Kat. 4</v>
      </c>
      <c r="AM151" s="49" t="str">
        <f>VLOOKUP($C151,Sektor_Thema[],7,FALSE)</f>
        <v>-</v>
      </c>
      <c r="AN151" s="49" t="str">
        <f>VLOOKUP($C151,Sektor_Thema[],8,FALSE)</f>
        <v>-</v>
      </c>
      <c r="AO151" s="49" t="str">
        <f>VLOOKUP($C151,Sektor_Thema[],9,FALSE)</f>
        <v>-</v>
      </c>
      <c r="AP151" s="49"/>
      <c r="AQ151" s="49"/>
      <c r="AR151" s="49"/>
      <c r="AS151" s="49"/>
      <c r="AT151" s="49"/>
      <c r="AU151" s="49"/>
      <c r="AV151" s="49"/>
      <c r="AW151" s="39"/>
      <c r="BA151" s="40"/>
    </row>
    <row r="152" spans="1:53" s="9" customFormat="1" ht="18.75" customHeight="1" x14ac:dyDescent="0.35">
      <c r="A152" s="37"/>
      <c r="B152" s="637"/>
      <c r="C152" s="464" t="s">
        <v>12</v>
      </c>
      <c r="D152" s="465">
        <f>IFERROR(SUMIF(Fuhrpark[Zuordnung Gliederungselement (Dropdown)],Ergebnisse!$D$131,Fuhrpark[Scope 1 CO2e '[kg CO2e']])/1000,"")</f>
        <v>0</v>
      </c>
      <c r="E152" s="465">
        <f>IFERROR(SUMIF(Fuhrpark[Zuordnung Gliederungselement (Dropdown)],Ergebnisse!$D$131,Fuhrpark[Scope 2 CO2e '[kg CO2e']])/1000,"")</f>
        <v>0</v>
      </c>
      <c r="F152" s="465">
        <f>IFERROR(SUMIF(Fuhrpark[Zuordnung Gliederungselement (Dropdown)],Ergebnisse!$D$131,Fuhrpark[Scope 3 CO2e '[kg CO2e']])/1000,"")</f>
        <v>0</v>
      </c>
      <c r="G152" s="482">
        <f t="shared" si="21"/>
        <v>0</v>
      </c>
      <c r="H152" s="496" t="e">
        <f t="shared" si="22"/>
        <v>#DIV/0!</v>
      </c>
      <c r="I152" s="49"/>
      <c r="J152" s="49"/>
      <c r="K152" s="49" t="str">
        <f>VLOOKUP($C152,Sektor_Thema[],6,FALSE)</f>
        <v>Kat. 2</v>
      </c>
      <c r="L152" s="49" t="str">
        <f>VLOOKUP($C152,Sektor_Thema[],7,FALSE)</f>
        <v>Kat. 1</v>
      </c>
      <c r="M152" s="49" t="str">
        <f>VLOOKUP($C152,Sektor_Thema[],8,FALSE)</f>
        <v>Kat. 3</v>
      </c>
      <c r="N152" s="49" t="str">
        <f>VLOOKUP($C152,Sektor_Thema[],9,FALSE)</f>
        <v>-</v>
      </c>
      <c r="O152" s="49"/>
      <c r="P152" s="49"/>
      <c r="Q152" s="49"/>
      <c r="R152" s="49"/>
      <c r="S152" s="49"/>
      <c r="T152" s="49"/>
      <c r="U152" s="49"/>
      <c r="V152" s="39"/>
      <c r="Z152" s="40"/>
      <c r="AA152" s="426"/>
      <c r="AB152" s="37"/>
      <c r="AC152" s="637"/>
      <c r="AD152" s="464" t="s">
        <v>12</v>
      </c>
      <c r="AE152" s="465">
        <f>IFERROR(SUMIF(Fuhrpark[Zuordnung Gliederungselement (Dropdown)],Ergebnisse!$AE$131,Fuhrpark[Scope 1 CO2e '[kg CO2e']])/1000,"")</f>
        <v>0</v>
      </c>
      <c r="AF152" s="465">
        <f>IFERROR(SUMIF(Fuhrpark[Zuordnung Gliederungselement (Dropdown)],Ergebnisse!$AE$131,Fuhrpark[Scope 2 CO2e market-based '[kg CO2e']])/1000,"")</f>
        <v>0</v>
      </c>
      <c r="AG152" s="465">
        <f>IFERROR(SUMIF(Fuhrpark[Zuordnung Gliederungselement (Dropdown)],Ergebnisse!$AE$131,Fuhrpark[Scope 3 CO2e '[kg CO2e']])/1000,"")</f>
        <v>0</v>
      </c>
      <c r="AH152" s="465">
        <f t="shared" si="23"/>
        <v>0</v>
      </c>
      <c r="AI152" s="496" t="e">
        <f t="shared" si="24"/>
        <v>#DIV/0!</v>
      </c>
      <c r="AJ152" s="49"/>
      <c r="AK152" s="49"/>
      <c r="AL152" s="49" t="str">
        <f>VLOOKUP($C152,Sektor_Thema[],6,FALSE)</f>
        <v>Kat. 2</v>
      </c>
      <c r="AM152" s="49" t="str">
        <f>VLOOKUP($C152,Sektor_Thema[],7,FALSE)</f>
        <v>Kat. 1</v>
      </c>
      <c r="AN152" s="49" t="str">
        <f>VLOOKUP($C152,Sektor_Thema[],8,FALSE)</f>
        <v>Kat. 3</v>
      </c>
      <c r="AO152" s="49" t="str">
        <f>VLOOKUP($C152,Sektor_Thema[],9,FALSE)</f>
        <v>-</v>
      </c>
      <c r="AP152" s="49"/>
      <c r="AQ152" s="49"/>
      <c r="AR152" s="49"/>
      <c r="AS152" s="49"/>
      <c r="AT152" s="49"/>
      <c r="AU152" s="49"/>
      <c r="AV152" s="49"/>
      <c r="AW152" s="39"/>
      <c r="BA152" s="40"/>
    </row>
    <row r="153" spans="1:53" s="9" customFormat="1" ht="18.75" customHeight="1" x14ac:dyDescent="0.35">
      <c r="A153" s="37"/>
      <c r="B153" s="637"/>
      <c r="C153" s="464" t="s">
        <v>18</v>
      </c>
      <c r="D153" s="465">
        <f>IFERROR(SUMIF(Geschäftsreisen[Zuordnung Gliederungselement (Dropdown)],Ergebnisse!$D$131,Geschäftsreisen[Scope 1 CO2e '[kg CO2e']])/1000,"")</f>
        <v>0</v>
      </c>
      <c r="E153" s="465">
        <f>IFERROR(SUMIF(Geschäftsreisen[Zuordnung Gliederungselement (Dropdown)],Ergebnisse!$D$131,Geschäftsreisen[Scope 2 CO2e '[kg CO2e']])/1000,"")</f>
        <v>0</v>
      </c>
      <c r="F153" s="465">
        <f>IFERROR(SUMIF(Geschäftsreisen[Zuordnung Gliederungselement (Dropdown)],Ergebnisse!$D$131,Geschäftsreisen[Scope 3 CO2e '[kg CO2e']])/1000,"")</f>
        <v>0</v>
      </c>
      <c r="G153" s="482">
        <f t="shared" si="21"/>
        <v>0</v>
      </c>
      <c r="H153" s="496" t="e">
        <f t="shared" si="22"/>
        <v>#DIV/0!</v>
      </c>
      <c r="I153" s="49"/>
      <c r="J153" s="49"/>
      <c r="K153" s="49" t="str">
        <f>VLOOKUP($C153,Sektor_Thema[],6,FALSE)</f>
        <v>-</v>
      </c>
      <c r="L153" s="49" t="str">
        <f>VLOOKUP($C153,Sektor_Thema[],7,FALSE)</f>
        <v>-</v>
      </c>
      <c r="M153" s="49" t="str">
        <f>VLOOKUP($C153,Sektor_Thema[],8,FALSE)</f>
        <v>Kat. 6</v>
      </c>
      <c r="N153" s="49" t="str">
        <f>VLOOKUP($C153,Sektor_Thema[],9,FALSE)</f>
        <v>-</v>
      </c>
      <c r="O153" s="49"/>
      <c r="P153" s="49"/>
      <c r="Q153" s="49"/>
      <c r="R153" s="49"/>
      <c r="S153" s="49"/>
      <c r="T153" s="49"/>
      <c r="U153" s="49"/>
      <c r="V153" s="39"/>
      <c r="Z153" s="40"/>
      <c r="AA153" s="426"/>
      <c r="AB153" s="37"/>
      <c r="AC153" s="637"/>
      <c r="AD153" s="464" t="s">
        <v>18</v>
      </c>
      <c r="AE153" s="465">
        <f>IFERROR(SUMIF(Geschäftsreisen[Zuordnung Gliederungselement (Dropdown)],Ergebnisse!$AE$131,Geschäftsreisen[Scope 1 CO2e '[kg CO2e']])/1000,"")</f>
        <v>0</v>
      </c>
      <c r="AF153" s="465">
        <f>IFERROR(SUMIF(Geschäftsreisen[Zuordnung Gliederungselement (Dropdown)],Ergebnisse!$AE$131,Geschäftsreisen[Scope 2 CO2e '[kg CO2e']])/1000,"")</f>
        <v>0</v>
      </c>
      <c r="AG153" s="465">
        <f>IFERROR(SUMIF(Geschäftsreisen[Zuordnung Gliederungselement (Dropdown)],Ergebnisse!$AE$131,Geschäftsreisen[Scope 3 CO2e '[kg CO2e']])/1000,"")</f>
        <v>0</v>
      </c>
      <c r="AH153" s="465">
        <f t="shared" si="23"/>
        <v>0</v>
      </c>
      <c r="AI153" s="496" t="e">
        <f t="shared" si="24"/>
        <v>#DIV/0!</v>
      </c>
      <c r="AJ153" s="49"/>
      <c r="AK153" s="49"/>
      <c r="AL153" s="49" t="str">
        <f>VLOOKUP($C153,Sektor_Thema[],6,FALSE)</f>
        <v>-</v>
      </c>
      <c r="AM153" s="49" t="str">
        <f>VLOOKUP($C153,Sektor_Thema[],7,FALSE)</f>
        <v>-</v>
      </c>
      <c r="AN153" s="49" t="str">
        <f>VLOOKUP($C153,Sektor_Thema[],8,FALSE)</f>
        <v>Kat. 6</v>
      </c>
      <c r="AO153" s="49" t="str">
        <f>VLOOKUP($C153,Sektor_Thema[],9,FALSE)</f>
        <v>-</v>
      </c>
      <c r="AP153" s="49"/>
      <c r="AQ153" s="49"/>
      <c r="AR153" s="49"/>
      <c r="AS153" s="49"/>
      <c r="AT153" s="49"/>
      <c r="AU153" s="49"/>
      <c r="AV153" s="49"/>
      <c r="AW153" s="39"/>
      <c r="BA153" s="40"/>
    </row>
    <row r="154" spans="1:53" s="9" customFormat="1" ht="18.75" customHeight="1" x14ac:dyDescent="0.35">
      <c r="A154" s="37"/>
      <c r="B154" s="637"/>
      <c r="C154" s="464" t="s">
        <v>68</v>
      </c>
      <c r="D154" s="465">
        <f>IFERROR(SUMIF(Pendeln_Mitarbeitende[Zuordnung Gliederungselement (Dropdown)],Ergebnisse!$D$131,Pendeln_Mitarbeitende[Scope 1 CO2e '[kg CO2e']])/1000,"")</f>
        <v>0</v>
      </c>
      <c r="E154" s="465">
        <f>IFERROR(SUMIF(Pendeln_Mitarbeitende[Zuordnung Gliederungselement (Dropdown)],Ergebnisse!$D$131,Pendeln_Mitarbeitende[Scope 2 CO2e '[kg CO2e']])/1000,"")</f>
        <v>0</v>
      </c>
      <c r="F154" s="465">
        <f>IFERROR(SUMIF(Pendeln_Mitarbeitende[Zuordnung Gliederungselement (Dropdown)],Ergebnisse!$D$131,Pendeln_Mitarbeitende[Scope 3 CO2e '[kg CO2e']])/1000,"")</f>
        <v>0</v>
      </c>
      <c r="G154" s="482">
        <f t="shared" si="21"/>
        <v>0</v>
      </c>
      <c r="H154" s="496" t="e">
        <f t="shared" si="22"/>
        <v>#DIV/0!</v>
      </c>
      <c r="I154" s="49"/>
      <c r="J154" s="49"/>
      <c r="K154" s="49" t="str">
        <f>VLOOKUP($C154,Sektor_Thema[],6,FALSE)</f>
        <v>-</v>
      </c>
      <c r="L154" s="49" t="str">
        <f>VLOOKUP($C154,Sektor_Thema[],7,FALSE)</f>
        <v>-</v>
      </c>
      <c r="M154" s="49" t="str">
        <f>VLOOKUP($C154,Sektor_Thema[],8,FALSE)</f>
        <v>Kat. 7</v>
      </c>
      <c r="N154" s="49" t="str">
        <f>VLOOKUP($C154,Sektor_Thema[],9,FALSE)</f>
        <v>-</v>
      </c>
      <c r="O154" s="49"/>
      <c r="P154" s="49"/>
      <c r="Q154" s="49"/>
      <c r="R154" s="49"/>
      <c r="S154" s="49"/>
      <c r="T154" s="49"/>
      <c r="U154" s="49"/>
      <c r="V154" s="39"/>
      <c r="Z154" s="40"/>
      <c r="AA154" s="426"/>
      <c r="AB154" s="37"/>
      <c r="AC154" s="637"/>
      <c r="AD154" s="464" t="s">
        <v>68</v>
      </c>
      <c r="AE154" s="465">
        <f>IFERROR(SUMIF(Pendeln_Mitarbeitende[Zuordnung Gliederungselement (Dropdown)],Ergebnisse!$AE$131,Pendeln_Mitarbeitende[Scope 1 CO2e '[kg CO2e']])/1000,"")</f>
        <v>0</v>
      </c>
      <c r="AF154" s="465">
        <f>IFERROR(SUMIF(Pendeln_Mitarbeitende[Zuordnung Gliederungselement (Dropdown)],Ergebnisse!$AE$131,Pendeln_Mitarbeitende[Scope 2 CO2e '[kg CO2e']])/1000,"")</f>
        <v>0</v>
      </c>
      <c r="AG154" s="465">
        <f>IFERROR(SUMIF(Pendeln_Mitarbeitende[Zuordnung Gliederungselement (Dropdown)],Ergebnisse!$AE$131,Pendeln_Mitarbeitende[Scope 3 CO2e '[kg CO2e']])/1000,"")</f>
        <v>0</v>
      </c>
      <c r="AH154" s="465">
        <f t="shared" si="23"/>
        <v>0</v>
      </c>
      <c r="AI154" s="496" t="e">
        <f t="shared" si="24"/>
        <v>#DIV/0!</v>
      </c>
      <c r="AJ154" s="49"/>
      <c r="AK154" s="49"/>
      <c r="AL154" s="49" t="str">
        <f>VLOOKUP($C154,Sektor_Thema[],6,FALSE)</f>
        <v>-</v>
      </c>
      <c r="AM154" s="49" t="str">
        <f>VLOOKUP($C154,Sektor_Thema[],7,FALSE)</f>
        <v>-</v>
      </c>
      <c r="AN154" s="49" t="str">
        <f>VLOOKUP($C154,Sektor_Thema[],8,FALSE)</f>
        <v>Kat. 7</v>
      </c>
      <c r="AO154" s="49" t="str">
        <f>VLOOKUP($C154,Sektor_Thema[],9,FALSE)</f>
        <v>-</v>
      </c>
      <c r="AP154" s="49"/>
      <c r="AQ154" s="49"/>
      <c r="AR154" s="49"/>
      <c r="AS154" s="49"/>
      <c r="AT154" s="49"/>
      <c r="AU154" s="49"/>
      <c r="AV154" s="49"/>
      <c r="AW154" s="39"/>
      <c r="BA154" s="40"/>
    </row>
    <row r="155" spans="1:53" s="9" customFormat="1" ht="18.75" customHeight="1" x14ac:dyDescent="0.35">
      <c r="A155" s="37"/>
      <c r="B155" s="637"/>
      <c r="C155" s="464" t="s">
        <v>129</v>
      </c>
      <c r="D155" s="465">
        <f>IFERROR(SUMIF(Externe[Zuordnung Gliederungselement (Dropdown)],Ergebnisse!$D$131,Externe[Scope 1 CO2e '[kg CO2e']])/1000,"")</f>
        <v>0</v>
      </c>
      <c r="E155" s="465">
        <f>IFERROR(SUMIF(Externe[Zuordnung Gliederungselement (Dropdown)],Ergebnisse!$D$131,Externe[Scope 2 CO2e '[kg CO2e']])/1000,"")</f>
        <v>0</v>
      </c>
      <c r="F155" s="465">
        <f>IFERROR(SUMIF(Externe[Zuordnung Gliederungselement (Dropdown)],Ergebnisse!$D$131,Externe[Scope 3 CO2e '[kg CO2e']])/1000,"")</f>
        <v>0</v>
      </c>
      <c r="G155" s="482">
        <f t="shared" si="21"/>
        <v>0</v>
      </c>
      <c r="H155" s="496" t="e">
        <f t="shared" si="22"/>
        <v>#DIV/0!</v>
      </c>
      <c r="I155" s="49"/>
      <c r="J155" s="49"/>
      <c r="K155" s="49" t="str">
        <f>VLOOKUP($C155,Sektor_Thema[],6,FALSE)</f>
        <v>-</v>
      </c>
      <c r="L155" s="49" t="str">
        <f>VLOOKUP($C155,Sektor_Thema[],7,FALSE)</f>
        <v>-</v>
      </c>
      <c r="M155" s="49" t="str">
        <f>VLOOKUP($C155,Sektor_Thema[],8,FALSE)</f>
        <v>Kat. 1</v>
      </c>
      <c r="N155" s="49" t="str">
        <f>VLOOKUP($C155,Sektor_Thema[],9,FALSE)</f>
        <v>-</v>
      </c>
      <c r="O155" s="49"/>
      <c r="P155" s="49"/>
      <c r="Q155" s="49"/>
      <c r="R155" s="49"/>
      <c r="S155" s="49"/>
      <c r="T155" s="49"/>
      <c r="U155" s="49"/>
      <c r="V155" s="39"/>
      <c r="Z155" s="40"/>
      <c r="AA155" s="426"/>
      <c r="AB155" s="37"/>
      <c r="AC155" s="637"/>
      <c r="AD155" s="464" t="s">
        <v>129</v>
      </c>
      <c r="AE155" s="465">
        <f>IFERROR(SUMIF(Externe[Zuordnung Gliederungselement (Dropdown)],Ergebnisse!$AE$131,Externe[Scope 1 CO2e '[kg CO2e']])/1000,"")</f>
        <v>0</v>
      </c>
      <c r="AF155" s="465">
        <f>IFERROR(SUMIF(Externe[Zuordnung Gliederungselement (Dropdown)],Ergebnisse!$AE$131,Externe[Scope 2 CO2e '[kg CO2e']])/1000,"")</f>
        <v>0</v>
      </c>
      <c r="AG155" s="465">
        <f>IFERROR(SUMIF(Externe[Zuordnung Gliederungselement (Dropdown)],Ergebnisse!$AE$131,Externe[Scope 3 CO2e '[kg CO2e']])/1000,"")</f>
        <v>0</v>
      </c>
      <c r="AH155" s="465">
        <f t="shared" si="23"/>
        <v>0</v>
      </c>
      <c r="AI155" s="496" t="e">
        <f t="shared" si="24"/>
        <v>#DIV/0!</v>
      </c>
      <c r="AJ155" s="49"/>
      <c r="AK155" s="49"/>
      <c r="AL155" s="49" t="str">
        <f>VLOOKUP($C155,Sektor_Thema[],6,FALSE)</f>
        <v>-</v>
      </c>
      <c r="AM155" s="49" t="str">
        <f>VLOOKUP($C155,Sektor_Thema[],7,FALSE)</f>
        <v>-</v>
      </c>
      <c r="AN155" s="49" t="str">
        <f>VLOOKUP($C155,Sektor_Thema[],8,FALSE)</f>
        <v>Kat. 1</v>
      </c>
      <c r="AO155" s="49" t="str">
        <f>VLOOKUP($C155,Sektor_Thema[],9,FALSE)</f>
        <v>-</v>
      </c>
      <c r="AP155" s="49"/>
      <c r="AQ155" s="49"/>
      <c r="AR155" s="49"/>
      <c r="AS155" s="49"/>
      <c r="AT155" s="49"/>
      <c r="AU155" s="49"/>
      <c r="AV155" s="49"/>
      <c r="AW155" s="39"/>
      <c r="BA155" s="40"/>
    </row>
    <row r="156" spans="1:53" s="9" customFormat="1" ht="18.75" customHeight="1" x14ac:dyDescent="0.35">
      <c r="A156" s="37"/>
      <c r="B156" s="637"/>
      <c r="C156" s="464" t="s">
        <v>71</v>
      </c>
      <c r="D156" s="465">
        <f>IFERROR(SUMIF(Warentransporte[Zuordnung Gliederungselement (Dropdown)],Ergebnisse!$D$131,Warentransporte[Scope 1 CO2e '[kg CO2e']])/1000,"")</f>
        <v>0</v>
      </c>
      <c r="E156" s="465">
        <f>IFERROR(SUMIF(Warentransporte[Zuordnung Gliederungselement (Dropdown)],Ergebnisse!$D$131,Warentransporte[Scope 2 CO2e '[kg CO2e']])/1000,"")</f>
        <v>0</v>
      </c>
      <c r="F156" s="465">
        <f>IFERROR(SUMIF(Warentransporte[Zuordnung Gliederungselement (Dropdown)],Ergebnisse!$D$131,Warentransporte[Scope 3 CO2e '[kg CO2e']])/1000,"")</f>
        <v>0</v>
      </c>
      <c r="G156" s="482">
        <f t="shared" si="21"/>
        <v>0</v>
      </c>
      <c r="H156" s="496" t="e">
        <f t="shared" si="22"/>
        <v>#DIV/0!</v>
      </c>
      <c r="I156" s="49"/>
      <c r="J156" s="49"/>
      <c r="K156" s="49" t="str">
        <f>VLOOKUP($C156,Sektor_Thema[],6,FALSE)</f>
        <v>-</v>
      </c>
      <c r="L156" s="49" t="str">
        <f>VLOOKUP($C156,Sektor_Thema[],7,FALSE)</f>
        <v>-</v>
      </c>
      <c r="M156" s="49" t="str">
        <f>VLOOKUP($C156,Sektor_Thema[],8,FALSE)</f>
        <v>Kat. 4</v>
      </c>
      <c r="N156" s="49" t="str">
        <f>VLOOKUP($C156,Sektor_Thema[],9,FALSE)</f>
        <v>-</v>
      </c>
      <c r="O156" s="49"/>
      <c r="P156" s="49"/>
      <c r="Q156" s="49"/>
      <c r="R156" s="49"/>
      <c r="S156" s="49"/>
      <c r="T156" s="49"/>
      <c r="U156" s="49"/>
      <c r="V156" s="39"/>
      <c r="Z156" s="40"/>
      <c r="AA156" s="426"/>
      <c r="AB156" s="37"/>
      <c r="AC156" s="637"/>
      <c r="AD156" s="464" t="s">
        <v>71</v>
      </c>
      <c r="AE156" s="465">
        <f>IFERROR(SUMIF(Warentransporte[Zuordnung Gliederungselement (Dropdown)],Ergebnisse!$AE$131,Warentransporte[Scope 1 CO2e '[kg CO2e']])/1000,"")</f>
        <v>0</v>
      </c>
      <c r="AF156" s="465">
        <f>IFERROR(SUMIF(Warentransporte[Zuordnung Gliederungselement (Dropdown)],Ergebnisse!$AE$131,Warentransporte[Scope 2 CO2e '[kg CO2e']])/1000,"")</f>
        <v>0</v>
      </c>
      <c r="AG156" s="465">
        <f>IFERROR(SUMIF(Warentransporte[Zuordnung Gliederungselement (Dropdown)],Ergebnisse!$AE$131,Warentransporte[Scope 3 CO2e '[kg CO2e']])/1000,"")</f>
        <v>0</v>
      </c>
      <c r="AH156" s="465">
        <f t="shared" si="23"/>
        <v>0</v>
      </c>
      <c r="AI156" s="496" t="e">
        <f t="shared" si="24"/>
        <v>#DIV/0!</v>
      </c>
      <c r="AJ156" s="49"/>
      <c r="AK156" s="49"/>
      <c r="AL156" s="49" t="str">
        <f>VLOOKUP($C156,Sektor_Thema[],6,FALSE)</f>
        <v>-</v>
      </c>
      <c r="AM156" s="49" t="str">
        <f>VLOOKUP($C156,Sektor_Thema[],7,FALSE)</f>
        <v>-</v>
      </c>
      <c r="AN156" s="49" t="str">
        <f>VLOOKUP($C156,Sektor_Thema[],8,FALSE)</f>
        <v>Kat. 4</v>
      </c>
      <c r="AO156" s="49" t="str">
        <f>VLOOKUP($C156,Sektor_Thema[],9,FALSE)</f>
        <v>-</v>
      </c>
      <c r="AP156" s="49"/>
      <c r="AQ156" s="49"/>
      <c r="AR156" s="49"/>
      <c r="AS156" s="49"/>
      <c r="AT156" s="49"/>
      <c r="AU156" s="49"/>
      <c r="AV156" s="49"/>
      <c r="AW156" s="39"/>
      <c r="BA156" s="40"/>
    </row>
    <row r="157" spans="1:53" s="9" customFormat="1" ht="18.75" customHeight="1" x14ac:dyDescent="0.35">
      <c r="A157" s="37"/>
      <c r="B157" s="637"/>
      <c r="C157" s="467" t="s">
        <v>323</v>
      </c>
      <c r="D157" s="468">
        <f>SUM(D149:D156)</f>
        <v>0</v>
      </c>
      <c r="E157" s="468">
        <f>SUM(E149:E156)</f>
        <v>0</v>
      </c>
      <c r="F157" s="468">
        <f>SUM(F149:F156)</f>
        <v>0</v>
      </c>
      <c r="G157" s="483">
        <f>SUM(D157:F157)</f>
        <v>0</v>
      </c>
      <c r="H157" s="509" t="e">
        <f>SUM(H149:H156)</f>
        <v>#DIV/0!</v>
      </c>
      <c r="I157" s="49"/>
      <c r="J157" s="49"/>
      <c r="K157" s="49"/>
      <c r="L157" s="49"/>
      <c r="M157" s="49"/>
      <c r="N157" s="49"/>
      <c r="O157" s="49"/>
      <c r="P157" s="49"/>
      <c r="Q157" s="49"/>
      <c r="R157" s="49"/>
      <c r="S157" s="49"/>
      <c r="T157" s="49"/>
      <c r="U157" s="49"/>
      <c r="V157" s="39"/>
      <c r="Z157" s="40"/>
      <c r="AA157" s="426"/>
      <c r="AB157" s="37"/>
      <c r="AC157" s="637"/>
      <c r="AD157" s="467" t="s">
        <v>323</v>
      </c>
      <c r="AE157" s="468">
        <f>SUM(AE149:AE156)</f>
        <v>0</v>
      </c>
      <c r="AF157" s="468">
        <f>SUM(AF149:AF156)</f>
        <v>0</v>
      </c>
      <c r="AG157" s="468">
        <f>SUM(AG149:AG156)</f>
        <v>0</v>
      </c>
      <c r="AH157" s="468">
        <f>SUM(AE157:AG157)</f>
        <v>0</v>
      </c>
      <c r="AI157" s="523" t="e">
        <f>SUM(AI149:AI156)</f>
        <v>#DIV/0!</v>
      </c>
      <c r="AJ157" s="49"/>
      <c r="AK157" s="49"/>
      <c r="AL157" s="49"/>
      <c r="AM157" s="49"/>
      <c r="AN157" s="49"/>
      <c r="AO157" s="49"/>
      <c r="AP157" s="49"/>
      <c r="AQ157" s="49"/>
      <c r="AR157" s="49"/>
      <c r="AS157" s="49"/>
      <c r="AT157" s="49"/>
      <c r="AU157" s="49"/>
      <c r="AV157" s="49"/>
      <c r="AW157" s="39"/>
      <c r="BA157" s="40"/>
    </row>
    <row r="158" spans="1:53" s="9" customFormat="1" ht="18.75" customHeight="1" x14ac:dyDescent="0.35">
      <c r="A158" s="37"/>
      <c r="B158" s="631" t="s">
        <v>316</v>
      </c>
      <c r="C158" s="168" t="s">
        <v>69</v>
      </c>
      <c r="D158" s="295">
        <f>IF($D$5="ja",IFERROR(SUMIF(Anreise_Besuchende[Zuordnung Gliederungselement (Dropdown)],Ergebnisse!$D$131,Anreise_Besuchende[Scope 1 CO2e '[kg CO2e']])/1000,""),"")</f>
        <v>0</v>
      </c>
      <c r="E158" s="295">
        <f>IF($D$5="ja",IFERROR(SUMIF(Anreise_Besuchende[Zuordnung Gliederungselement (Dropdown)],Ergebnisse!$D$131,Anreise_Besuchende[Scope 2 CO2e '[kg CO2e']])/1000,""),"")</f>
        <v>0</v>
      </c>
      <c r="F158" s="295">
        <f>IF($D$5="ja",IFERROR(SUMIF(Anreise_Besuchende[Zuordnung Gliederungselement (Dropdown)],Ergebnisse!$D$131,Anreise_Besuchende[Scope 3 CO2e '[kg CO2e']])/1000,""),"")</f>
        <v>0</v>
      </c>
      <c r="G158" s="484">
        <f t="shared" ref="G158:G163" si="25">IF($D$5="ja",SUM(D158:F158),"")</f>
        <v>0</v>
      </c>
      <c r="H158" s="498" t="e">
        <f>IF($D$5="ja",G158/G$163,"")</f>
        <v>#DIV/0!</v>
      </c>
      <c r="I158" s="49"/>
      <c r="J158" s="49"/>
      <c r="K158" s="49" t="str">
        <f>VLOOKUP($C158,Sektor_Thema[],6,FALSE)</f>
        <v>-</v>
      </c>
      <c r="L158" s="49" t="str">
        <f>VLOOKUP($C158,Sektor_Thema[],7,FALSE)</f>
        <v>-</v>
      </c>
      <c r="M158" s="49" t="str">
        <f>VLOOKUP($C158,Sektor_Thema[],8,FALSE)</f>
        <v>Kat. 9</v>
      </c>
      <c r="N158" s="49" t="str">
        <f>VLOOKUP($C158,Sektor_Thema[],9,FALSE)</f>
        <v>-</v>
      </c>
      <c r="O158" s="49"/>
      <c r="P158" s="49"/>
      <c r="Q158" s="49"/>
      <c r="R158" s="49"/>
      <c r="S158" s="49"/>
      <c r="T158" s="49"/>
      <c r="U158" s="49"/>
      <c r="V158" s="39"/>
      <c r="Z158" s="40"/>
      <c r="AA158" s="426"/>
      <c r="AB158" s="37"/>
      <c r="AC158" s="631" t="s">
        <v>316</v>
      </c>
      <c r="AD158" s="168" t="s">
        <v>69</v>
      </c>
      <c r="AE158" s="295">
        <f>IF($AE$5="ja",IFERROR(SUMIF(Anreise_Besuchende[Zuordnung Gliederungselement (Dropdown)],Ergebnisse!$AE$131,Anreise_Besuchende[Scope 1 CO2e '[kg CO2e']])/1000,""),"")</f>
        <v>0</v>
      </c>
      <c r="AF158" s="295">
        <f>IF($AE$5="ja",IFERROR(SUMIF(Anreise_Besuchende[Zuordnung Gliederungselement (Dropdown)],Ergebnisse!$AE$131,Anreise_Besuchende[Scope 2 CO2e '[kg CO2e']])/1000,""),"")</f>
        <v>0</v>
      </c>
      <c r="AG158" s="295">
        <f>IF($AE$5="ja",IFERROR(SUMIF(Anreise_Besuchende[Zuordnung Gliederungselement (Dropdown)],Ergebnisse!$AE$131,Anreise_Besuchende[Scope 3 CO2e '[kg CO2e']])/1000,""),"")</f>
        <v>0</v>
      </c>
      <c r="AH158" s="295">
        <f t="shared" ref="AH158:AH163" si="26">IF($AE$5="ja",SUM(AE158:AG158),"")</f>
        <v>0</v>
      </c>
      <c r="AI158" s="498" t="e">
        <f>IF($AE$5="ja",AH158/AH$163,"")</f>
        <v>#DIV/0!</v>
      </c>
      <c r="AJ158" s="49"/>
      <c r="AK158" s="49"/>
      <c r="AL158" s="49" t="str">
        <f>VLOOKUP($C158,Sektor_Thema[],6,FALSE)</f>
        <v>-</v>
      </c>
      <c r="AM158" s="49" t="str">
        <f>VLOOKUP($C158,Sektor_Thema[],7,FALSE)</f>
        <v>-</v>
      </c>
      <c r="AN158" s="49" t="str">
        <f>VLOOKUP($C158,Sektor_Thema[],8,FALSE)</f>
        <v>Kat. 9</v>
      </c>
      <c r="AO158" s="49" t="str">
        <f>VLOOKUP($C158,Sektor_Thema[],9,FALSE)</f>
        <v>-</v>
      </c>
      <c r="AP158" s="49"/>
      <c r="AQ158" s="49"/>
      <c r="AR158" s="49"/>
      <c r="AS158" s="49"/>
      <c r="AT158" s="49"/>
      <c r="AU158" s="49"/>
      <c r="AV158" s="49"/>
      <c r="AW158" s="39"/>
      <c r="BA158" s="40"/>
    </row>
    <row r="159" spans="1:53" s="9" customFormat="1" ht="18.75" customHeight="1" x14ac:dyDescent="0.35">
      <c r="A159" s="37"/>
      <c r="B159" s="632"/>
      <c r="C159" s="168" t="s">
        <v>291</v>
      </c>
      <c r="D159" s="295">
        <f>IF($D$5="ja",IFERROR(SUMIF(Medien[Zuordnung Gliederungselement (Dropdown)],Ergebnisse!$D$131,Medien[Scope 1 CO2e '[kg CO2e']])/1000,""),"")</f>
        <v>0</v>
      </c>
      <c r="E159" s="295">
        <f>IF($D$5="ja",IFERROR(SUMIF(Medien[Zuordnung Gliederungselement (Dropdown)],Ergebnisse!$D$131,Medien[Scope 2 CO2e '[kg CO2e']])/1000,""),"")</f>
        <v>0</v>
      </c>
      <c r="F159" s="295">
        <f>IF($D$5="ja",IFERROR(SUMIF(Medien[Zuordnung Gliederungselement (Dropdown)],Ergebnisse!$D$131,Medien[Scope 3 CO2e '[kg CO2e']])/1000,""),"")</f>
        <v>0</v>
      </c>
      <c r="G159" s="484">
        <f t="shared" si="25"/>
        <v>0</v>
      </c>
      <c r="H159" s="498" t="e">
        <f>IF($D$5="ja",G159/G$163,"")</f>
        <v>#DIV/0!</v>
      </c>
      <c r="I159" s="49"/>
      <c r="J159" s="49"/>
      <c r="K159" s="49" t="str">
        <f>VLOOKUP($C159,Sektor_Thema[],6,FALSE)</f>
        <v>-</v>
      </c>
      <c r="L159" s="49" t="str">
        <f>VLOOKUP($C159,Sektor_Thema[],7,FALSE)</f>
        <v>-</v>
      </c>
      <c r="M159" s="49" t="str">
        <f>VLOOKUP($C159,Sektor_Thema[],8,FALSE)</f>
        <v>Kat. 1</v>
      </c>
      <c r="N159" s="49" t="str">
        <f>VLOOKUP($C159,Sektor_Thema[],9,FALSE)</f>
        <v>-</v>
      </c>
      <c r="O159" s="49"/>
      <c r="P159" s="49"/>
      <c r="Q159" s="49"/>
      <c r="R159" s="49"/>
      <c r="S159" s="49"/>
      <c r="T159" s="49"/>
      <c r="U159" s="49"/>
      <c r="V159" s="39"/>
      <c r="Z159" s="40"/>
      <c r="AA159" s="426"/>
      <c r="AB159" s="37"/>
      <c r="AC159" s="632"/>
      <c r="AD159" s="168" t="s">
        <v>291</v>
      </c>
      <c r="AE159" s="295">
        <f>IF($AE$5="ja",IFERROR(SUMIF(Medien[Zuordnung Gliederungselement (Dropdown)],Ergebnisse!$AE$131,Medien[Scope 1 CO2e '[kg CO2e']])/1000,""),"")</f>
        <v>0</v>
      </c>
      <c r="AF159" s="295">
        <f>IF($AE$5="ja",IFERROR(SUMIF(Medien[Zuordnung Gliederungselement (Dropdown)],Ergebnisse!$AE$131,Medien[Scope 2 CO2e '[kg CO2e']])/1000,""),"")</f>
        <v>0</v>
      </c>
      <c r="AG159" s="295">
        <f>IF($AE$5="ja",IFERROR(SUMIF(Medien[Zuordnung Gliederungselement (Dropdown)],Ergebnisse!$AE$131,Medien[Scope 3 CO2e '[kg CO2e']])/1000,""),"")</f>
        <v>0</v>
      </c>
      <c r="AH159" s="295">
        <f t="shared" si="26"/>
        <v>0</v>
      </c>
      <c r="AI159" s="498" t="e">
        <f>IF($AE$5="ja",AH159/AH$163,"")</f>
        <v>#DIV/0!</v>
      </c>
      <c r="AJ159" s="49"/>
      <c r="AK159" s="49"/>
      <c r="AL159" s="49" t="str">
        <f>VLOOKUP($C159,Sektor_Thema[],6,FALSE)</f>
        <v>-</v>
      </c>
      <c r="AM159" s="49" t="str">
        <f>VLOOKUP($C159,Sektor_Thema[],7,FALSE)</f>
        <v>-</v>
      </c>
      <c r="AN159" s="49" t="str">
        <f>VLOOKUP($C159,Sektor_Thema[],8,FALSE)</f>
        <v>Kat. 1</v>
      </c>
      <c r="AO159" s="49" t="str">
        <f>VLOOKUP($C159,Sektor_Thema[],9,FALSE)</f>
        <v>-</v>
      </c>
      <c r="AP159" s="49"/>
      <c r="AQ159" s="49"/>
      <c r="AR159" s="49"/>
      <c r="AS159" s="49"/>
      <c r="AT159" s="49"/>
      <c r="AU159" s="49"/>
      <c r="AV159" s="49"/>
      <c r="AW159" s="39"/>
      <c r="BA159" s="40"/>
    </row>
    <row r="160" spans="1:53" s="9" customFormat="1" ht="18.75" customHeight="1" x14ac:dyDescent="0.35">
      <c r="A160" s="37"/>
      <c r="B160" s="632"/>
      <c r="C160" s="168" t="s">
        <v>20</v>
      </c>
      <c r="D160" s="295">
        <f>IF($D$5="ja",IFERROR(SUMIF(IT_Dienstleistungen[Zuordnung Gliederungselement (Dropdown)],Ergebnisse!$D$131,IT_Dienstleistungen[Scope 1 CO2e '[kg CO2e']])/1000,""),"")</f>
        <v>0</v>
      </c>
      <c r="E160" s="295">
        <f>IF($D$5="ja",IFERROR(SUMIF(IT_Dienstleistungen[Zuordnung Gliederungselement (Dropdown)],Ergebnisse!$D$131,IT_Dienstleistungen[Scope 2 CO2e '[kg CO2e']])/1000,""),"")</f>
        <v>0</v>
      </c>
      <c r="F160" s="295">
        <f>IF($D$5="ja",IFERROR(SUMIF(IT_Dienstleistungen[Zuordnung Gliederungselement (Dropdown)],Ergebnisse!$D$131,IT_Dienstleistungen[Scope 3 CO2e '[kg CO2e']])/1000,""),"")</f>
        <v>0</v>
      </c>
      <c r="G160" s="484">
        <f t="shared" si="25"/>
        <v>0</v>
      </c>
      <c r="H160" s="498" t="e">
        <f>IF($D$5="ja",G160/G$163,"")</f>
        <v>#DIV/0!</v>
      </c>
      <c r="I160" s="49"/>
      <c r="J160" s="334"/>
      <c r="K160" s="49" t="str">
        <f>VLOOKUP($C160,Sektor_Thema[],6,FALSE)</f>
        <v>-</v>
      </c>
      <c r="L160" s="49" t="str">
        <f>VLOOKUP($C160,Sektor_Thema[],7,FALSE)</f>
        <v>-</v>
      </c>
      <c r="M160" s="49" t="str">
        <f>VLOOKUP($C160,Sektor_Thema[],8,FALSE)</f>
        <v>Kat. 1</v>
      </c>
      <c r="N160" s="49" t="str">
        <f>VLOOKUP($C160,Sektor_Thema[],9,FALSE)</f>
        <v>-</v>
      </c>
      <c r="O160" s="49"/>
      <c r="P160" s="49"/>
      <c r="Q160" s="49"/>
      <c r="R160" s="49"/>
      <c r="S160" s="49"/>
      <c r="T160" s="49"/>
      <c r="U160" s="49"/>
      <c r="V160" s="39"/>
      <c r="Z160" s="40"/>
      <c r="AA160" s="426"/>
      <c r="AB160" s="37"/>
      <c r="AC160" s="632"/>
      <c r="AD160" s="168" t="s">
        <v>20</v>
      </c>
      <c r="AE160" s="295">
        <f>IF($AE$5="ja",IFERROR(SUMIF(IT_Dienstleistungen[Zuordnung Gliederungselement (Dropdown)],Ergebnisse!$AE$131,IT_Dienstleistungen[Scope 1 CO2e '[kg CO2e']])/1000,""),"")</f>
        <v>0</v>
      </c>
      <c r="AF160" s="295">
        <f>IF($AE$5="ja",IFERROR(SUMIF(IT_Dienstleistungen[Zuordnung Gliederungselement (Dropdown)],Ergebnisse!$AE$131,IT_Dienstleistungen[Scope 2 CO2e '[kg CO2e']])/1000,""),"")</f>
        <v>0</v>
      </c>
      <c r="AG160" s="295">
        <f>IF($AE$5="ja",IFERROR(SUMIF(IT_Dienstleistungen[Zuordnung Gliederungselement (Dropdown)],Ergebnisse!$AE$131,IT_Dienstleistungen[Scope 3 CO2e '[kg CO2e']])/1000,""),"")</f>
        <v>0</v>
      </c>
      <c r="AH160" s="295">
        <f t="shared" si="26"/>
        <v>0</v>
      </c>
      <c r="AI160" s="498" t="e">
        <f>IF($AE$5="ja",AH160/AH$163,"")</f>
        <v>#DIV/0!</v>
      </c>
      <c r="AJ160" s="49"/>
      <c r="AK160" s="334"/>
      <c r="AL160" s="49" t="str">
        <f>VLOOKUP($C160,Sektor_Thema[],6,FALSE)</f>
        <v>-</v>
      </c>
      <c r="AM160" s="49" t="str">
        <f>VLOOKUP($C160,Sektor_Thema[],7,FALSE)</f>
        <v>-</v>
      </c>
      <c r="AN160" s="49" t="str">
        <f>VLOOKUP($C160,Sektor_Thema[],8,FALSE)</f>
        <v>Kat. 1</v>
      </c>
      <c r="AO160" s="49" t="str">
        <f>VLOOKUP($C160,Sektor_Thema[],9,FALSE)</f>
        <v>-</v>
      </c>
      <c r="AP160" s="49"/>
      <c r="AQ160" s="49"/>
      <c r="AR160" s="49"/>
      <c r="AS160" s="49"/>
      <c r="AT160" s="49"/>
      <c r="AU160" s="49"/>
      <c r="AV160" s="49"/>
      <c r="AW160" s="39"/>
      <c r="BA160" s="40"/>
    </row>
    <row r="161" spans="1:53" s="9" customFormat="1" ht="18.75" customHeight="1" x14ac:dyDescent="0.35">
      <c r="A161" s="37"/>
      <c r="B161" s="632"/>
      <c r="C161" s="168" t="s">
        <v>19</v>
      </c>
      <c r="D161" s="295">
        <f>IF($D$5="ja",IFERROR(SUMIF(Relevante_Stoffströme[Zuordnung Gliederungselement (Dropdown)],Ergebnisse!$D$131,Relevante_Stoffströme[Scope 1 CO2e '[kg CO2e']])/1000,""),"")</f>
        <v>0</v>
      </c>
      <c r="E161" s="295">
        <f>IF($D$5="ja",IFERROR(SUMIF(Relevante_Stoffströme[Zuordnung Gliederungselement (Dropdown)],Ergebnisse!$D$131,Relevante_Stoffströme[Scope 2 CO2e '[kg CO2e']])/1000,""),"")</f>
        <v>0</v>
      </c>
      <c r="F161" s="295">
        <f>IF($D$5="ja",IFERROR(SUMIF(Relevante_Stoffströme[Zuordnung Gliederungselement (Dropdown)],Ergebnisse!$D$131,Relevante_Stoffströme[Ergebnis '[kg CO2e']
(vorausgefüllt)])/1000,""),"")</f>
        <v>0</v>
      </c>
      <c r="G161" s="484">
        <f t="shared" si="25"/>
        <v>0</v>
      </c>
      <c r="H161" s="498" t="e">
        <f>IF($D$5="ja",G161/G$163,"")</f>
        <v>#DIV/0!</v>
      </c>
      <c r="I161" s="49">
        <f>IFERROR(SUMIF(Relevante_Stoffströme[Zuordnung Gliederungselement (Dropdown)],Ergebnisse!$D$131,Relevante_Stoffströme[Scope 3.1 CO2e '[kg CO2e']])/1000,"")</f>
        <v>0</v>
      </c>
      <c r="J161" s="49">
        <f>IFERROR(SUMIF(Relevante_Stoffströme[Zuordnung Gliederungselement (Dropdown)],Ergebnisse!$D$131,Relevante_Stoffströme[Scope 3.5 CO2e '[kg CO2e']])/1000,"")</f>
        <v>0</v>
      </c>
      <c r="K161" s="49" t="str">
        <f>VLOOKUP($C161,Sektor_Thema[],6,FALSE)</f>
        <v>-</v>
      </c>
      <c r="L161" s="49" t="str">
        <f>VLOOKUP($C161,Sektor_Thema[],7,FALSE)</f>
        <v>-</v>
      </c>
      <c r="M161" s="49" t="str">
        <f>VLOOKUP($C161,Sektor_Thema[],8,FALSE)</f>
        <v>Kat. 1</v>
      </c>
      <c r="N161" s="49" t="str">
        <f>VLOOKUP($C161,Sektor_Thema[],9,FALSE)</f>
        <v>Kat. 5</v>
      </c>
      <c r="O161" s="49"/>
      <c r="P161" s="49"/>
      <c r="Q161" s="49"/>
      <c r="R161" s="49"/>
      <c r="S161" s="49"/>
      <c r="T161" s="49"/>
      <c r="U161" s="49"/>
      <c r="V161" s="39"/>
      <c r="Z161" s="40"/>
      <c r="AA161" s="426"/>
      <c r="AB161" s="37"/>
      <c r="AC161" s="632"/>
      <c r="AD161" s="168" t="s">
        <v>19</v>
      </c>
      <c r="AE161" s="295">
        <f>IF($AE$5="ja",IFERROR(SUMIF(Relevante_Stoffströme[Zuordnung Gliederungselement (Dropdown)],Ergebnisse!$AE$131,Relevante_Stoffströme[Scope 1 CO2e '[kg CO2e']])/1000,""),"")</f>
        <v>0</v>
      </c>
      <c r="AF161" s="295">
        <f>IF($AE$5="ja",IFERROR(SUMIF(Relevante_Stoffströme[Zuordnung Gliederungselement (Dropdown)],Ergebnisse!$AE$131,Relevante_Stoffströme[Scope 2 CO2e '[kg CO2e']])/1000,""),"")</f>
        <v>0</v>
      </c>
      <c r="AG161" s="295">
        <f>IF($AE$5="ja",IFERROR(SUMIF(Relevante_Stoffströme[Zuordnung Gliederungselement (Dropdown)],Ergebnisse!$AE$131,Relevante_Stoffströme[Ergebnis '[kg CO2e']
(vorausgefüllt)])/1000,""),"")</f>
        <v>0</v>
      </c>
      <c r="AH161" s="295">
        <f t="shared" si="26"/>
        <v>0</v>
      </c>
      <c r="AI161" s="498" t="e">
        <f>IF($AE$5="ja",AH161/AH$163,"")</f>
        <v>#DIV/0!</v>
      </c>
      <c r="AJ161" s="49">
        <f>IFERROR(SUMIF(Relevante_Stoffströme[Zuordnung Gliederungselement (Dropdown)],Ergebnisse!$AE$131,Relevante_Stoffströme[Scope 3.1 CO2e '[kg CO2e']])/1000,"")</f>
        <v>0</v>
      </c>
      <c r="AK161" s="49">
        <f>IFERROR(SUMIF(Relevante_Stoffströme[Zuordnung Gliederungselement (Dropdown)],Ergebnisse!$AE$131,Relevante_Stoffströme[Scope 3.5 CO2e '[kg CO2e']])/1000,"")</f>
        <v>0</v>
      </c>
      <c r="AL161" s="49" t="str">
        <f>VLOOKUP($C161,Sektor_Thema[],6,FALSE)</f>
        <v>-</v>
      </c>
      <c r="AM161" s="49" t="str">
        <f>VLOOKUP($C161,Sektor_Thema[],7,FALSE)</f>
        <v>-</v>
      </c>
      <c r="AN161" s="49" t="str">
        <f>VLOOKUP($C161,Sektor_Thema[],8,FALSE)</f>
        <v>Kat. 1</v>
      </c>
      <c r="AO161" s="49" t="str">
        <f>VLOOKUP($C161,Sektor_Thema[],9,FALSE)</f>
        <v>Kat. 5</v>
      </c>
      <c r="AP161" s="49"/>
      <c r="AQ161" s="49"/>
      <c r="AR161" s="49"/>
      <c r="AS161" s="49"/>
      <c r="AT161" s="49"/>
      <c r="AU161" s="49"/>
      <c r="AV161" s="49"/>
      <c r="AW161" s="39"/>
      <c r="BA161" s="40"/>
    </row>
    <row r="162" spans="1:53" s="9" customFormat="1" ht="18.75" customHeight="1" x14ac:dyDescent="0.35">
      <c r="A162" s="37"/>
      <c r="B162" s="633"/>
      <c r="C162" s="169" t="s">
        <v>324</v>
      </c>
      <c r="D162" s="296">
        <f>IF($D$5="ja",SUM(D158:D161),"")</f>
        <v>0</v>
      </c>
      <c r="E162" s="296">
        <f>IF($D$5="ja",SUM(E158:E161),"")</f>
        <v>0</v>
      </c>
      <c r="F162" s="296">
        <f>IF($D$5="ja",SUM(F158:F161),"")</f>
        <v>0</v>
      </c>
      <c r="G162" s="485">
        <f t="shared" si="25"/>
        <v>0</v>
      </c>
      <c r="H162" s="499" t="e">
        <f>IF($D$5="ja",SUM(H158:H161),"")</f>
        <v>#DIV/0!</v>
      </c>
      <c r="I162" s="49"/>
      <c r="J162" s="49"/>
      <c r="K162" s="49"/>
      <c r="L162" s="49"/>
      <c r="M162" s="49"/>
      <c r="N162" s="49"/>
      <c r="O162" s="49"/>
      <c r="P162" s="49"/>
      <c r="Q162" s="49"/>
      <c r="R162" s="49"/>
      <c r="S162" s="49"/>
      <c r="T162" s="49"/>
      <c r="U162" s="49"/>
      <c r="V162" s="39"/>
      <c r="Z162" s="40"/>
      <c r="AA162" s="426"/>
      <c r="AB162" s="37"/>
      <c r="AC162" s="633"/>
      <c r="AD162" s="169" t="s">
        <v>324</v>
      </c>
      <c r="AE162" s="296">
        <f>IF($AE$5="ja",SUM(AE158:AE161),"")</f>
        <v>0</v>
      </c>
      <c r="AF162" s="296">
        <f>IF($AE$5="ja",SUM(AF158:AF161),"")</f>
        <v>0</v>
      </c>
      <c r="AG162" s="296">
        <f>IF($AE$5="ja",SUM(AG158:AG161),"")</f>
        <v>0</v>
      </c>
      <c r="AH162" s="296">
        <f t="shared" si="26"/>
        <v>0</v>
      </c>
      <c r="AI162" s="499" t="e">
        <f>IF($AE$5="ja",SUM(AI158:AI161),"")</f>
        <v>#DIV/0!</v>
      </c>
      <c r="AJ162" s="49"/>
      <c r="AK162" s="49"/>
      <c r="AL162" s="49"/>
      <c r="AM162" s="49"/>
      <c r="AN162" s="49"/>
      <c r="AO162" s="49"/>
      <c r="AP162" s="49"/>
      <c r="AQ162" s="49"/>
      <c r="AR162" s="49"/>
      <c r="AS162" s="49"/>
      <c r="AT162" s="49"/>
      <c r="AU162" s="49"/>
      <c r="AV162" s="49"/>
      <c r="AW162" s="39"/>
      <c r="BA162" s="40"/>
    </row>
    <row r="163" spans="1:53" ht="18.75" customHeight="1" x14ac:dyDescent="0.35">
      <c r="A163" s="34"/>
      <c r="B163" s="214" t="s">
        <v>321</v>
      </c>
      <c r="C163" s="164"/>
      <c r="D163" s="294">
        <f>IF($D$5="ja",D157+D162,"")</f>
        <v>0</v>
      </c>
      <c r="E163" s="294">
        <f>IF($D$5="ja",E157+E162,"")</f>
        <v>0</v>
      </c>
      <c r="F163" s="294">
        <f>IF($D$5="ja",F157+F162,"")</f>
        <v>0</v>
      </c>
      <c r="G163" s="486">
        <f t="shared" si="25"/>
        <v>0</v>
      </c>
      <c r="H163" s="500" t="e">
        <f>IF($D$5="ja",SUM(H157,H162),"")</f>
        <v>#DIV/0!</v>
      </c>
      <c r="I163" s="42"/>
      <c r="J163" s="42"/>
      <c r="K163" s="42"/>
      <c r="L163" s="42"/>
      <c r="M163" s="42"/>
      <c r="N163" s="42"/>
      <c r="O163" s="42"/>
      <c r="P163" s="42"/>
      <c r="Q163" s="42"/>
      <c r="R163" s="42"/>
      <c r="S163" s="42"/>
      <c r="T163" s="42"/>
      <c r="U163" s="42"/>
      <c r="V163" s="8"/>
      <c r="Z163" s="35"/>
      <c r="AA163" s="28"/>
      <c r="AB163" s="34"/>
      <c r="AC163" s="214" t="s">
        <v>321</v>
      </c>
      <c r="AD163" s="164"/>
      <c r="AE163" s="294">
        <f>IF($AE$5="ja",AE157+AE162,"")</f>
        <v>0</v>
      </c>
      <c r="AF163" s="294">
        <f>IF($AE$5="ja",AF157+AF162,"")</f>
        <v>0</v>
      </c>
      <c r="AG163" s="294">
        <f>IF($AE$5="ja",AG157+AG162,"")</f>
        <v>0</v>
      </c>
      <c r="AH163" s="294">
        <f t="shared" si="26"/>
        <v>0</v>
      </c>
      <c r="AI163" s="500" t="e">
        <f>IF($AE$5="ja",SUM(AI157,AI162),"")</f>
        <v>#DIV/0!</v>
      </c>
      <c r="AJ163" s="42"/>
      <c r="AK163" s="42"/>
      <c r="AL163" s="42"/>
      <c r="AM163" s="42"/>
      <c r="AN163" s="42"/>
      <c r="AO163" s="42"/>
      <c r="AP163" s="42"/>
      <c r="AQ163" s="42"/>
      <c r="AR163" s="42"/>
      <c r="AS163" s="42"/>
      <c r="AT163" s="42"/>
      <c r="AU163" s="42"/>
      <c r="AV163" s="42"/>
      <c r="AW163" s="8"/>
      <c r="BA163" s="35"/>
    </row>
    <row r="164" spans="1:53" s="9" customFormat="1" ht="24" customHeight="1" x14ac:dyDescent="0.35">
      <c r="A164" s="37"/>
      <c r="B164" s="15"/>
      <c r="C164" s="10"/>
      <c r="D164"/>
      <c r="E164"/>
      <c r="F164"/>
      <c r="G164"/>
      <c r="H164" s="49"/>
      <c r="I164" s="49"/>
      <c r="J164" s="49"/>
      <c r="K164" s="49"/>
      <c r="L164" s="49"/>
      <c r="M164" s="49"/>
      <c r="N164" s="49"/>
      <c r="O164" s="49"/>
      <c r="P164" s="49"/>
      <c r="Q164" s="49"/>
      <c r="R164" s="49"/>
      <c r="S164" s="49"/>
      <c r="T164" s="49"/>
      <c r="U164" s="49"/>
      <c r="V164" s="39"/>
      <c r="Z164" s="40"/>
      <c r="AA164" s="426"/>
      <c r="AB164" s="37"/>
      <c r="AC164" s="15"/>
      <c r="AD164" s="10"/>
      <c r="AE164"/>
      <c r="AF164"/>
      <c r="AG164"/>
      <c r="AH164"/>
      <c r="AI164" s="49"/>
      <c r="AJ164" s="49"/>
      <c r="AK164" s="49"/>
      <c r="AL164" s="49"/>
      <c r="AM164" s="49"/>
      <c r="AN164" s="49"/>
      <c r="AO164" s="49"/>
      <c r="AP164" s="49"/>
      <c r="AQ164" s="49"/>
      <c r="AR164" s="49"/>
      <c r="AS164" s="49"/>
      <c r="AT164" s="49"/>
      <c r="AU164" s="49"/>
      <c r="AV164" s="49"/>
      <c r="AW164" s="39"/>
      <c r="BA164" s="40"/>
    </row>
    <row r="165" spans="1:53" ht="18.5" x14ac:dyDescent="0.35">
      <c r="A165" s="34"/>
      <c r="B165" s="36"/>
      <c r="C165" s="38"/>
      <c r="D165" s="9"/>
      <c r="E165" s="9"/>
      <c r="F165" s="9"/>
      <c r="G165" s="9"/>
      <c r="H165" s="42"/>
      <c r="I165" s="42"/>
      <c r="J165" s="42"/>
      <c r="K165" s="42"/>
      <c r="L165" s="42"/>
      <c r="M165" s="42"/>
      <c r="N165" s="42"/>
      <c r="O165" s="42"/>
      <c r="P165" s="42"/>
      <c r="Q165" s="42"/>
      <c r="R165" s="42"/>
      <c r="S165" s="42"/>
      <c r="T165" s="42"/>
      <c r="U165" s="42"/>
      <c r="V165" s="8"/>
      <c r="Z165" s="35"/>
      <c r="AA165" s="28"/>
      <c r="AB165" s="34"/>
      <c r="AC165" s="36"/>
      <c r="AD165" s="38"/>
      <c r="AE165" s="9"/>
      <c r="AF165" s="9"/>
      <c r="AG165" s="9"/>
      <c r="AH165" s="9"/>
      <c r="AI165" s="42"/>
      <c r="AJ165" s="42"/>
      <c r="AK165" s="42"/>
      <c r="AL165" s="42"/>
      <c r="AM165" s="42"/>
      <c r="AN165" s="42"/>
      <c r="AO165" s="42"/>
      <c r="AP165" s="42"/>
      <c r="AQ165" s="42"/>
      <c r="AR165" s="42"/>
      <c r="AS165" s="42"/>
      <c r="AT165" s="42"/>
      <c r="AU165" s="42"/>
      <c r="AV165" s="42"/>
      <c r="AW165" s="8"/>
      <c r="BA165" s="35"/>
    </row>
    <row r="166" spans="1:53" ht="18.75" customHeight="1" x14ac:dyDescent="0.35">
      <c r="A166" s="34"/>
      <c r="B166" s="83"/>
      <c r="C166" s="84"/>
      <c r="D166" s="85"/>
      <c r="E166" s="85"/>
      <c r="H166" s="42"/>
      <c r="I166" s="42"/>
      <c r="J166" s="42"/>
      <c r="K166" s="42"/>
      <c r="L166" s="42"/>
      <c r="M166" s="42"/>
      <c r="N166" s="42"/>
      <c r="O166" s="42"/>
      <c r="P166" s="42"/>
      <c r="Q166" s="42"/>
      <c r="R166" s="42"/>
      <c r="S166" s="42"/>
      <c r="T166" s="42"/>
      <c r="U166" s="42"/>
      <c r="V166" s="8"/>
      <c r="Z166" s="35"/>
      <c r="AA166" s="28"/>
      <c r="AB166" s="34"/>
      <c r="AC166" s="83"/>
      <c r="AD166" s="84"/>
      <c r="AE166" s="85"/>
      <c r="AF166" s="85"/>
      <c r="AI166" s="42"/>
      <c r="AJ166" s="42"/>
      <c r="AK166" s="42"/>
      <c r="AL166" s="42"/>
      <c r="AM166" s="42"/>
      <c r="AN166" s="42"/>
      <c r="AO166" s="42"/>
      <c r="AP166" s="42"/>
      <c r="AQ166" s="42"/>
      <c r="AR166" s="42"/>
      <c r="AS166" s="42"/>
      <c r="AT166" s="42"/>
      <c r="AU166" s="42"/>
      <c r="AV166" s="42"/>
      <c r="AW166" s="8"/>
      <c r="BA166" s="35"/>
    </row>
    <row r="167" spans="1:53" ht="18.75" customHeight="1" x14ac:dyDescent="0.35">
      <c r="A167" s="34"/>
      <c r="B167" s="250"/>
      <c r="C167" s="38"/>
      <c r="D167" s="9"/>
      <c r="E167" s="9"/>
      <c r="H167" s="42"/>
      <c r="I167" s="42"/>
      <c r="J167" s="42"/>
      <c r="K167" s="42"/>
      <c r="L167" s="42"/>
      <c r="M167" s="42"/>
      <c r="N167" s="42"/>
      <c r="O167" s="42"/>
      <c r="P167" s="42"/>
      <c r="Q167" s="42"/>
      <c r="R167" s="42"/>
      <c r="S167" s="42"/>
      <c r="T167" s="42"/>
      <c r="U167" s="42"/>
      <c r="V167" s="8"/>
      <c r="Z167" s="35"/>
      <c r="AA167" s="28"/>
      <c r="AB167" s="34"/>
      <c r="AC167" s="250"/>
      <c r="AD167" s="38"/>
      <c r="AE167" s="9"/>
      <c r="AF167" s="9"/>
      <c r="AI167" s="42"/>
      <c r="AJ167" s="42"/>
      <c r="AK167" s="42"/>
      <c r="AL167" s="42"/>
      <c r="AM167" s="42"/>
      <c r="AN167" s="42"/>
      <c r="AO167" s="42"/>
      <c r="AP167" s="42"/>
      <c r="AQ167" s="42"/>
      <c r="AR167" s="42"/>
      <c r="AS167" s="42"/>
      <c r="AT167" s="42"/>
      <c r="AU167" s="42"/>
      <c r="AV167" s="42"/>
      <c r="AW167" s="8"/>
      <c r="BA167" s="35"/>
    </row>
    <row r="168" spans="1:53" ht="12.75" customHeight="1" x14ac:dyDescent="0.35">
      <c r="A168" s="34"/>
      <c r="B168" s="250"/>
      <c r="C168" s="38"/>
      <c r="D168" s="9"/>
      <c r="E168" s="9"/>
      <c r="P168" s="8"/>
      <c r="Q168" s="8"/>
      <c r="R168" s="8"/>
      <c r="S168" s="8"/>
      <c r="T168" s="8"/>
      <c r="U168" s="8"/>
      <c r="V168" s="8"/>
      <c r="Z168" s="35"/>
      <c r="AA168" s="28"/>
      <c r="AB168" s="34"/>
      <c r="AC168" s="250"/>
      <c r="AD168" s="38"/>
      <c r="AE168" s="9"/>
      <c r="AF168" s="9"/>
      <c r="AI168" s="8"/>
      <c r="AJ168" s="8"/>
      <c r="AK168" s="8"/>
      <c r="AL168" s="8"/>
      <c r="AM168" s="8"/>
      <c r="AN168" s="8"/>
      <c r="AO168" s="8"/>
      <c r="AP168" s="8"/>
      <c r="AQ168" s="8"/>
      <c r="AR168" s="8"/>
      <c r="AS168" s="8"/>
      <c r="AT168" s="8"/>
      <c r="AU168" s="8"/>
      <c r="AV168" s="8"/>
      <c r="AW168" s="8"/>
      <c r="BA168" s="35"/>
    </row>
    <row r="169" spans="1:53" ht="6" customHeight="1" x14ac:dyDescent="0.35">
      <c r="A169" s="34"/>
      <c r="B169" s="250"/>
      <c r="C169" s="38"/>
      <c r="D169" s="9"/>
      <c r="E169" s="9"/>
      <c r="P169" s="8"/>
      <c r="Q169" s="8"/>
      <c r="R169" s="8"/>
      <c r="S169" s="8"/>
      <c r="T169" s="8"/>
      <c r="U169" s="8"/>
      <c r="V169" s="8"/>
      <c r="Z169" s="35"/>
      <c r="AA169" s="28"/>
      <c r="AB169" s="34"/>
      <c r="AC169" s="250"/>
      <c r="AD169" s="38"/>
      <c r="AE169" s="9"/>
      <c r="AF169" s="9"/>
      <c r="AI169" s="8"/>
      <c r="AJ169" s="8"/>
      <c r="AK169" s="8"/>
      <c r="AL169" s="8"/>
      <c r="AM169" s="8"/>
      <c r="AN169" s="8"/>
      <c r="AO169" s="8"/>
      <c r="AP169" s="8"/>
      <c r="AQ169" s="8"/>
      <c r="AR169" s="8"/>
      <c r="AS169" s="8"/>
      <c r="AT169" s="8"/>
      <c r="AU169" s="8"/>
      <c r="AV169" s="8"/>
      <c r="AW169" s="8"/>
      <c r="BA169" s="35"/>
    </row>
    <row r="170" spans="1:53" ht="6" customHeight="1" x14ac:dyDescent="0.35">
      <c r="A170" s="34"/>
      <c r="B170" s="250"/>
      <c r="C170" s="38"/>
      <c r="D170" s="9"/>
      <c r="E170" s="9"/>
      <c r="P170" s="8"/>
      <c r="Q170" s="8"/>
      <c r="R170" s="8"/>
      <c r="S170" s="8"/>
      <c r="T170" s="8"/>
      <c r="U170" s="8"/>
      <c r="V170" s="8"/>
      <c r="Z170" s="35"/>
      <c r="AA170" s="28"/>
      <c r="AB170" s="34"/>
      <c r="AC170" s="250"/>
      <c r="AD170" s="38"/>
      <c r="AE170" s="9"/>
      <c r="AF170" s="9"/>
      <c r="AI170" s="8"/>
      <c r="AJ170" s="8"/>
      <c r="AK170" s="8"/>
      <c r="AL170" s="8"/>
      <c r="AM170" s="8"/>
      <c r="AN170" s="8"/>
      <c r="AO170" s="8"/>
      <c r="AP170" s="8"/>
      <c r="AQ170" s="8"/>
      <c r="AR170" s="8"/>
      <c r="AS170" s="8"/>
      <c r="AT170" s="8"/>
      <c r="AU170" s="8"/>
      <c r="AV170" s="8"/>
      <c r="AW170" s="8"/>
      <c r="BA170" s="35"/>
    </row>
    <row r="171" spans="1:53" ht="6" customHeight="1" x14ac:dyDescent="0.35">
      <c r="A171" s="34"/>
      <c r="P171" s="8"/>
      <c r="Q171" s="8"/>
      <c r="R171" s="8"/>
      <c r="S171" s="8"/>
      <c r="T171" s="8"/>
      <c r="U171" s="8"/>
      <c r="V171" s="8"/>
      <c r="Z171" s="35"/>
      <c r="AA171" s="28"/>
      <c r="AB171" s="34"/>
      <c r="AC171" s="15"/>
      <c r="AD171" s="10"/>
      <c r="AI171" s="8"/>
      <c r="AJ171" s="8"/>
      <c r="AK171" s="8"/>
      <c r="AL171" s="8"/>
      <c r="AM171" s="8"/>
      <c r="AN171" s="8"/>
      <c r="AO171" s="8"/>
      <c r="AP171" s="8"/>
      <c r="AQ171" s="8"/>
      <c r="AR171" s="8"/>
      <c r="AS171" s="8"/>
      <c r="AT171" s="8"/>
      <c r="AU171" s="8"/>
      <c r="AV171" s="8"/>
      <c r="AW171" s="8"/>
      <c r="BA171" s="35"/>
    </row>
    <row r="172" spans="1:53" ht="6" customHeight="1" thickBot="1" x14ac:dyDescent="0.4">
      <c r="A172" s="43"/>
      <c r="B172" s="222"/>
      <c r="C172" s="45"/>
      <c r="D172" s="46"/>
      <c r="E172" s="46"/>
      <c r="F172" s="46"/>
      <c r="G172" s="46"/>
      <c r="H172" s="47"/>
      <c r="I172" s="47"/>
      <c r="J172" s="47"/>
      <c r="K172" s="47"/>
      <c r="L172" s="47"/>
      <c r="M172" s="47"/>
      <c r="N172" s="47"/>
      <c r="O172" s="47"/>
      <c r="P172" s="47"/>
      <c r="Q172" s="47"/>
      <c r="R172" s="47"/>
      <c r="S172" s="47"/>
      <c r="T172" s="47"/>
      <c r="U172" s="47"/>
      <c r="V172" s="47"/>
      <c r="W172" s="46"/>
      <c r="X172" s="46"/>
      <c r="Y172" s="46"/>
      <c r="Z172" s="48"/>
      <c r="AA172" s="425"/>
      <c r="AB172" s="43"/>
      <c r="AC172" s="222"/>
      <c r="AD172" s="45"/>
      <c r="AE172" s="46"/>
      <c r="AF172" s="46"/>
      <c r="AG172" s="46"/>
      <c r="AH172" s="46"/>
      <c r="AI172" s="47"/>
      <c r="AJ172" s="47"/>
      <c r="AK172" s="47"/>
      <c r="AL172" s="47"/>
      <c r="AM172" s="47"/>
      <c r="AN172" s="47"/>
      <c r="AO172" s="47"/>
      <c r="AP172" s="47"/>
      <c r="AQ172" s="47"/>
      <c r="AR172" s="47"/>
      <c r="AS172" s="47"/>
      <c r="AT172" s="47"/>
      <c r="AU172" s="47"/>
      <c r="AV172" s="47"/>
      <c r="AW172" s="47"/>
      <c r="AX172" s="46"/>
      <c r="AY172" s="46"/>
      <c r="AZ172" s="46"/>
      <c r="BA172" s="48"/>
    </row>
    <row r="173" spans="1:53" ht="24" customHeight="1" x14ac:dyDescent="0.35">
      <c r="A173" s="258"/>
      <c r="B173" s="259" t="s">
        <v>328</v>
      </c>
      <c r="C173" s="260"/>
      <c r="D173" s="264" t="str">
        <f>IF(ISBLANK($D$131),"",$D$131)</f>
        <v/>
      </c>
      <c r="E173" s="261"/>
      <c r="F173" s="261"/>
      <c r="G173" s="261"/>
      <c r="H173" s="335"/>
      <c r="I173" s="335"/>
      <c r="J173" s="335"/>
      <c r="K173" s="335"/>
      <c r="L173" s="335"/>
      <c r="M173" s="335"/>
      <c r="N173" s="335"/>
      <c r="O173" s="335"/>
      <c r="P173" s="335"/>
      <c r="Q173" s="335"/>
      <c r="R173" s="335"/>
      <c r="S173" s="335"/>
      <c r="T173" s="335"/>
      <c r="U173" s="261"/>
      <c r="V173" s="261"/>
      <c r="W173" s="261"/>
      <c r="X173" s="261"/>
      <c r="Y173" s="261"/>
      <c r="Z173" s="263"/>
      <c r="AA173" s="424"/>
      <c r="AB173" s="258"/>
      <c r="AC173" s="259" t="s">
        <v>328</v>
      </c>
      <c r="AD173" s="260"/>
      <c r="AE173" s="264" t="str">
        <f>IF(ISBLANK($AE$131),"",$AE$131)</f>
        <v/>
      </c>
      <c r="AF173" s="261"/>
      <c r="AG173" s="261"/>
      <c r="AH173" s="261"/>
      <c r="AI173" s="335"/>
      <c r="AJ173" s="335"/>
      <c r="AK173" s="335"/>
      <c r="AL173" s="335"/>
      <c r="AM173" s="335"/>
      <c r="AN173" s="335"/>
      <c r="AO173" s="335"/>
      <c r="AP173" s="335"/>
      <c r="AQ173" s="335"/>
      <c r="AR173" s="335"/>
      <c r="AS173" s="335"/>
      <c r="AT173" s="335"/>
      <c r="AU173" s="335"/>
      <c r="AV173" s="261"/>
      <c r="AW173" s="261"/>
      <c r="AX173" s="261"/>
      <c r="AY173" s="261"/>
      <c r="AZ173" s="261"/>
      <c r="BA173" s="263"/>
    </row>
    <row r="174" spans="1:53" ht="12" customHeight="1" x14ac:dyDescent="0.35">
      <c r="A174" s="34"/>
      <c r="B174" s="212"/>
      <c r="H174" s="42"/>
      <c r="I174" s="42"/>
      <c r="J174" s="42"/>
      <c r="K174" s="42"/>
      <c r="L174" s="42"/>
      <c r="M174" s="42"/>
      <c r="N174" s="42"/>
      <c r="O174" s="42"/>
      <c r="P174" s="42"/>
      <c r="Q174" s="42"/>
      <c r="R174" s="42"/>
      <c r="S174" s="42"/>
      <c r="T174" s="42"/>
      <c r="Z174" s="35"/>
      <c r="AA174" s="28"/>
      <c r="AB174" s="34"/>
      <c r="AC174" s="212"/>
      <c r="AD174" s="10"/>
      <c r="AI174" s="42"/>
      <c r="AJ174" s="42"/>
      <c r="AK174" s="42"/>
      <c r="AL174" s="42"/>
      <c r="AM174" s="42"/>
      <c r="AN174" s="42"/>
      <c r="AO174" s="42"/>
      <c r="AP174" s="42"/>
      <c r="AQ174" s="42"/>
      <c r="AR174" s="42"/>
      <c r="AS174" s="42"/>
      <c r="AT174" s="42"/>
      <c r="AU174" s="42"/>
      <c r="BA174" s="35"/>
    </row>
    <row r="175" spans="1:53" ht="46" thickBot="1" x14ac:dyDescent="0.4">
      <c r="A175" s="34"/>
      <c r="B175" s="171"/>
      <c r="C175" s="170"/>
      <c r="D175" s="341" t="s">
        <v>583</v>
      </c>
      <c r="E175" s="174" t="s">
        <v>582</v>
      </c>
      <c r="F175" s="480" t="s">
        <v>325</v>
      </c>
      <c r="G175" s="511" t="s">
        <v>608</v>
      </c>
      <c r="H175" s="487" t="s">
        <v>609</v>
      </c>
      <c r="I175" s="42"/>
      <c r="J175" s="42"/>
      <c r="K175" s="42"/>
      <c r="L175" s="42"/>
      <c r="M175" s="42"/>
      <c r="N175" s="42"/>
      <c r="O175" s="42"/>
      <c r="P175" s="42"/>
      <c r="Q175" s="42"/>
      <c r="R175" s="42"/>
      <c r="S175" s="42"/>
      <c r="T175" s="42"/>
      <c r="Z175" s="35"/>
      <c r="AA175" s="28"/>
      <c r="AB175" s="34"/>
      <c r="AC175" s="171"/>
      <c r="AD175" s="170"/>
      <c r="AE175" s="341" t="s">
        <v>583</v>
      </c>
      <c r="AF175" s="174" t="s">
        <v>582</v>
      </c>
      <c r="AG175" s="480" t="s">
        <v>325</v>
      </c>
      <c r="AH175" s="511" t="s">
        <v>608</v>
      </c>
      <c r="AI175" s="487" t="s">
        <v>609</v>
      </c>
      <c r="AJ175" s="42"/>
      <c r="AK175" s="42"/>
      <c r="AL175" s="42"/>
      <c r="AM175" s="42"/>
      <c r="AN175" s="42"/>
      <c r="AO175" s="42"/>
      <c r="AP175" s="42"/>
      <c r="AQ175" s="42"/>
      <c r="AR175" s="42"/>
      <c r="AS175" s="42"/>
      <c r="AT175" s="42"/>
      <c r="AU175" s="42"/>
      <c r="BA175" s="35"/>
    </row>
    <row r="176" spans="1:53" ht="15.75" customHeight="1" x14ac:dyDescent="0.35">
      <c r="A176" s="34"/>
      <c r="B176" s="245" t="s">
        <v>101</v>
      </c>
      <c r="C176" s="246"/>
      <c r="D176" s="246"/>
      <c r="E176" s="246"/>
      <c r="F176" s="490"/>
      <c r="G176" s="512"/>
      <c r="H176" s="42"/>
      <c r="I176" s="42"/>
      <c r="J176" s="42"/>
      <c r="K176" s="42"/>
      <c r="L176" s="42"/>
      <c r="M176" s="42"/>
      <c r="N176" s="42"/>
      <c r="O176" s="42"/>
      <c r="P176" s="42"/>
      <c r="Q176" s="42"/>
      <c r="R176" s="42"/>
      <c r="S176" s="42"/>
      <c r="T176" s="42"/>
      <c r="Z176" s="35"/>
      <c r="AA176" s="28"/>
      <c r="AB176" s="34"/>
      <c r="AC176" s="245" t="s">
        <v>101</v>
      </c>
      <c r="AD176" s="246"/>
      <c r="AE176" s="246"/>
      <c r="AF176" s="246"/>
      <c r="AG176" s="490"/>
      <c r="AH176" s="512"/>
      <c r="AI176" s="42"/>
      <c r="AJ176" s="42"/>
      <c r="AK176" s="42"/>
      <c r="AL176" s="42"/>
      <c r="AM176" s="42"/>
      <c r="AN176" s="42"/>
      <c r="AO176" s="42"/>
      <c r="AP176" s="42"/>
      <c r="AQ176" s="42"/>
      <c r="AR176" s="42"/>
      <c r="AS176" s="42"/>
      <c r="AT176" s="42"/>
      <c r="AU176" s="42"/>
      <c r="BA176" s="35"/>
    </row>
    <row r="177" spans="1:53" ht="18.75" customHeight="1" x14ac:dyDescent="0.35">
      <c r="A177" s="34"/>
      <c r="B177" s="172" t="s">
        <v>84</v>
      </c>
      <c r="C177" s="173" t="s">
        <v>92</v>
      </c>
      <c r="D177" s="297">
        <f>SUMIF(K$149:K$156,$B177,D$149:D$156)</f>
        <v>0</v>
      </c>
      <c r="E177" s="297">
        <f>IF($D$5="ja",SUMIF(K$158:K$161,$B177,D$158:D$161),"")</f>
        <v>0</v>
      </c>
      <c r="F177" s="491">
        <f>IF($D$5="ja",SUM(D177:E177),"")</f>
        <v>0</v>
      </c>
      <c r="G177" s="513" t="e">
        <f>D177/D$195</f>
        <v>#DIV/0!</v>
      </c>
      <c r="H177" s="501" t="e">
        <f ca="1">IF($D$5="ja",F177/F$195,"")</f>
        <v>#DIV/0!</v>
      </c>
      <c r="I177" s="41"/>
      <c r="J177" s="42"/>
      <c r="K177" s="42"/>
      <c r="L177" s="42"/>
      <c r="M177" s="42"/>
      <c r="N177" s="42"/>
      <c r="O177" s="42"/>
      <c r="P177" s="42"/>
      <c r="Q177" s="42"/>
      <c r="R177" s="42"/>
      <c r="S177" s="42"/>
      <c r="T177" s="42"/>
      <c r="Z177" s="35"/>
      <c r="AA177" s="28"/>
      <c r="AB177" s="34"/>
      <c r="AC177" s="172" t="s">
        <v>84</v>
      </c>
      <c r="AD177" s="173" t="s">
        <v>92</v>
      </c>
      <c r="AE177" s="297">
        <f>SUMIF(AL$149:AL$156,$AC177,AE$149:AE$156)</f>
        <v>0</v>
      </c>
      <c r="AF177" s="297">
        <f>IF($AE$5="ja",SUMIF(AL$158:AL$161,$AC177,AE$158:AE$161),"")</f>
        <v>0</v>
      </c>
      <c r="AG177" s="491">
        <f>IF($AE$5="ja",SUM(AE177:AF177),"")</f>
        <v>0</v>
      </c>
      <c r="AH177" s="513" t="e">
        <f>AE177/AE$195</f>
        <v>#DIV/0!</v>
      </c>
      <c r="AI177" s="501" t="e">
        <f ca="1">IF($AE$5="ja",AG177/AG$195,"")</f>
        <v>#DIV/0!</v>
      </c>
      <c r="AJ177" s="41"/>
      <c r="AK177" s="42"/>
      <c r="AL177" s="42"/>
      <c r="AM177" s="42"/>
      <c r="AN177" s="42"/>
      <c r="AO177" s="42"/>
      <c r="AP177" s="42"/>
      <c r="AQ177" s="42"/>
      <c r="AR177" s="42"/>
      <c r="AS177" s="42"/>
      <c r="AT177" s="42"/>
      <c r="AU177" s="42"/>
      <c r="BA177" s="35"/>
    </row>
    <row r="178" spans="1:53" ht="18.75" customHeight="1" x14ac:dyDescent="0.35">
      <c r="A178" s="34"/>
      <c r="B178" s="172" t="s">
        <v>85</v>
      </c>
      <c r="C178" s="173" t="s">
        <v>93</v>
      </c>
      <c r="D178" s="297">
        <f>SUMIF(K$149:K$156,$B178,D$149:D$156)</f>
        <v>0</v>
      </c>
      <c r="E178" s="297">
        <f>IF($D$5="ja",SUMIF(K$158:K$161,$B178,D$158:D$161),"")</f>
        <v>0</v>
      </c>
      <c r="F178" s="491">
        <f>IF($D$5="ja",SUM(D178:E178),"")</f>
        <v>0</v>
      </c>
      <c r="G178" s="513" t="e">
        <f>D178/D$195</f>
        <v>#DIV/0!</v>
      </c>
      <c r="H178" s="501" t="e">
        <f ca="1">IF($D$5="ja",F178/F$195,"")</f>
        <v>#DIV/0!</v>
      </c>
      <c r="I178" s="41"/>
      <c r="J178" s="42"/>
      <c r="K178" s="42"/>
      <c r="L178" s="42"/>
      <c r="M178" s="42"/>
      <c r="N178" s="42"/>
      <c r="O178" s="42"/>
      <c r="P178" s="42"/>
      <c r="Q178" s="42"/>
      <c r="R178" s="42"/>
      <c r="S178" s="42"/>
      <c r="T178" s="42"/>
      <c r="Z178" s="35"/>
      <c r="AA178" s="28"/>
      <c r="AB178" s="34"/>
      <c r="AC178" s="172" t="s">
        <v>85</v>
      </c>
      <c r="AD178" s="173" t="s">
        <v>93</v>
      </c>
      <c r="AE178" s="297">
        <f>SUMIF(AL$149:AL$156,$AC178,AE$149:AE$156)</f>
        <v>0</v>
      </c>
      <c r="AF178" s="297">
        <f>IF($AE$5="ja",SUMIF(AL$158:AL$161,$AC178,AE$158:AE$161),"")</f>
        <v>0</v>
      </c>
      <c r="AG178" s="491">
        <f>IF($AE$5="ja",SUM(AE178:AF178),"")</f>
        <v>0</v>
      </c>
      <c r="AH178" s="513" t="e">
        <f>AE178/AE$195</f>
        <v>#DIV/0!</v>
      </c>
      <c r="AI178" s="501" t="e">
        <f ca="1">IF($AE$5="ja",AG178/AG$195,"")</f>
        <v>#DIV/0!</v>
      </c>
      <c r="AJ178" s="41"/>
      <c r="AK178" s="42"/>
      <c r="AL178" s="42"/>
      <c r="AM178" s="42"/>
      <c r="AN178" s="42"/>
      <c r="AO178" s="42"/>
      <c r="AP178" s="42"/>
      <c r="AQ178" s="42"/>
      <c r="AR178" s="42"/>
      <c r="AS178" s="42"/>
      <c r="AT178" s="42"/>
      <c r="AU178" s="42"/>
      <c r="BA178" s="35"/>
    </row>
    <row r="179" spans="1:53" ht="18.75" customHeight="1" x14ac:dyDescent="0.35">
      <c r="A179" s="34"/>
      <c r="B179" s="172" t="s">
        <v>87</v>
      </c>
      <c r="C179" s="173" t="s">
        <v>94</v>
      </c>
      <c r="D179" s="297">
        <f>SUMIF(K$149:K$156,$B179,D$149:D$156)</f>
        <v>0</v>
      </c>
      <c r="E179" s="297">
        <f>IF($D$5="ja",SUMIF(K$158:K$161,$B179,D$158:D$161),"")</f>
        <v>0</v>
      </c>
      <c r="F179" s="491">
        <f>IF($D$5="ja",SUM(D179:E179),"")</f>
        <v>0</v>
      </c>
      <c r="G179" s="513" t="e">
        <f>D179/D$195</f>
        <v>#DIV/0!</v>
      </c>
      <c r="H179" s="501" t="e">
        <f ca="1">IF($D$5="ja",F179/F$195,"")</f>
        <v>#DIV/0!</v>
      </c>
      <c r="I179" s="41"/>
      <c r="J179" s="42"/>
      <c r="K179" s="42"/>
      <c r="L179" s="42"/>
      <c r="M179" s="42"/>
      <c r="N179" s="42"/>
      <c r="O179" s="42"/>
      <c r="P179" s="42"/>
      <c r="Q179" s="42"/>
      <c r="R179" s="42"/>
      <c r="S179" s="42"/>
      <c r="T179" s="42"/>
      <c r="Z179" s="35"/>
      <c r="AA179" s="28"/>
      <c r="AB179" s="34"/>
      <c r="AC179" s="172" t="s">
        <v>87</v>
      </c>
      <c r="AD179" s="173" t="s">
        <v>94</v>
      </c>
      <c r="AE179" s="297">
        <f>SUMIF(AL$149:AL$156,$AC179,AE$149:AE$156)</f>
        <v>0</v>
      </c>
      <c r="AF179" s="297">
        <f>IF($AE$5="ja",SUMIF(AL$158:AL$161,$AC179,AE$158:AE$161),"")</f>
        <v>0</v>
      </c>
      <c r="AG179" s="491">
        <f>IF($AE$5="ja",SUM(AE179:AF179),"")</f>
        <v>0</v>
      </c>
      <c r="AH179" s="513" t="e">
        <f>AE179/AE$195</f>
        <v>#DIV/0!</v>
      </c>
      <c r="AI179" s="501" t="e">
        <f ca="1">IF($AE$5="ja",AG179/AG$195,"")</f>
        <v>#DIV/0!</v>
      </c>
      <c r="AJ179" s="41"/>
      <c r="AK179" s="42"/>
      <c r="AL179" s="42"/>
      <c r="AM179" s="42"/>
      <c r="AN179" s="42"/>
      <c r="AO179" s="42"/>
      <c r="AP179" s="42"/>
      <c r="AQ179" s="42"/>
      <c r="AR179" s="42"/>
      <c r="AS179" s="42"/>
      <c r="AT179" s="42"/>
      <c r="AU179" s="42"/>
      <c r="BA179" s="35"/>
    </row>
    <row r="180" spans="1:53" s="9" customFormat="1" ht="18.75" customHeight="1" x14ac:dyDescent="0.35">
      <c r="A180" s="37"/>
      <c r="B180" s="254" t="s">
        <v>204</v>
      </c>
      <c r="C180" s="255" t="s">
        <v>241</v>
      </c>
      <c r="D180" s="298">
        <f>SUM(D177:D179)</f>
        <v>0</v>
      </c>
      <c r="E180" s="298">
        <f>IF($D$5="ja",SUM(E177:E179),"")</f>
        <v>0</v>
      </c>
      <c r="F180" s="492">
        <f>IF($D$5="ja",SUM(D180:E180),"")</f>
        <v>0</v>
      </c>
      <c r="G180" s="514" t="e">
        <f>SUM(G177:G179)</f>
        <v>#DIV/0!</v>
      </c>
      <c r="H180" s="503" t="e">
        <f ca="1">SUM(H177:H179)</f>
        <v>#DIV/0!</v>
      </c>
      <c r="I180" s="49"/>
      <c r="J180" s="49"/>
      <c r="K180" s="49"/>
      <c r="L180" s="49"/>
      <c r="M180" s="49"/>
      <c r="N180" s="49"/>
      <c r="O180" s="49"/>
      <c r="P180" s="49"/>
      <c r="Q180" s="49"/>
      <c r="R180" s="49"/>
      <c r="S180" s="49"/>
      <c r="T180" s="49"/>
      <c r="Z180" s="40"/>
      <c r="AA180" s="426"/>
      <c r="AB180" s="37"/>
      <c r="AC180" s="254" t="s">
        <v>204</v>
      </c>
      <c r="AD180" s="255" t="s">
        <v>241</v>
      </c>
      <c r="AE180" s="298">
        <f>SUM(AE177:AE179)</f>
        <v>0</v>
      </c>
      <c r="AF180" s="298">
        <f>IF($AE$5="ja",SUM(AF177:AF179),"")</f>
        <v>0</v>
      </c>
      <c r="AG180" s="492">
        <f>IF($AE$5="ja",SUM(AE180:AF180),"")</f>
        <v>0</v>
      </c>
      <c r="AH180" s="514" t="e">
        <f>SUM(AH177:AH179)</f>
        <v>#DIV/0!</v>
      </c>
      <c r="AI180" s="503" t="e">
        <f ca="1">SUM(AI177:AI179)</f>
        <v>#DIV/0!</v>
      </c>
      <c r="AJ180" s="49"/>
      <c r="AK180" s="49"/>
      <c r="AL180" s="49"/>
      <c r="AM180" s="49"/>
      <c r="AN180" s="49"/>
      <c r="AO180" s="49"/>
      <c r="AP180" s="49"/>
      <c r="AQ180" s="49"/>
      <c r="AR180" s="49"/>
      <c r="AS180" s="49"/>
      <c r="AT180" s="49"/>
      <c r="AU180" s="49"/>
      <c r="BA180" s="40"/>
    </row>
    <row r="181" spans="1:53" ht="19.5" customHeight="1" x14ac:dyDescent="0.35">
      <c r="A181" s="34"/>
      <c r="B181" s="251" t="s">
        <v>102</v>
      </c>
      <c r="C181" s="252"/>
      <c r="D181" s="252"/>
      <c r="E181" s="252"/>
      <c r="F181" s="493"/>
      <c r="G181" s="515"/>
      <c r="H181" s="502"/>
      <c r="I181" s="41"/>
      <c r="J181" s="42"/>
      <c r="K181" s="42"/>
      <c r="L181" s="42"/>
      <c r="M181" s="42"/>
      <c r="N181" s="42"/>
      <c r="O181" s="42"/>
      <c r="P181" s="42"/>
      <c r="Q181" s="42"/>
      <c r="R181" s="42"/>
      <c r="S181" s="42"/>
      <c r="T181" s="42"/>
      <c r="Z181" s="35"/>
      <c r="AA181" s="28"/>
      <c r="AB181" s="34"/>
      <c r="AC181" s="251" t="s">
        <v>102</v>
      </c>
      <c r="AD181" s="252"/>
      <c r="AE181" s="252"/>
      <c r="AF181" s="252"/>
      <c r="AG181" s="493"/>
      <c r="AH181" s="515"/>
      <c r="AI181" s="502"/>
      <c r="AJ181" s="41"/>
      <c r="AK181" s="42"/>
      <c r="AL181" s="42"/>
      <c r="AM181" s="42"/>
      <c r="AN181" s="42"/>
      <c r="AO181" s="42"/>
      <c r="AP181" s="42"/>
      <c r="AQ181" s="42"/>
      <c r="AR181" s="42"/>
      <c r="AS181" s="42"/>
      <c r="AT181" s="42"/>
      <c r="AU181" s="42"/>
      <c r="BA181" s="35"/>
    </row>
    <row r="182" spans="1:53" ht="30.75" customHeight="1" x14ac:dyDescent="0.35">
      <c r="A182" s="34"/>
      <c r="B182" s="172" t="s">
        <v>84</v>
      </c>
      <c r="C182" s="173" t="s">
        <v>95</v>
      </c>
      <c r="D182" s="297">
        <f>SUMIF(L$149:L$156,$B182,E$149:E$156)</f>
        <v>0</v>
      </c>
      <c r="E182" s="297">
        <f>IF($D$5="ja",SUMIF(L$158:L$161,$B182,E$158:E$161),"")</f>
        <v>0</v>
      </c>
      <c r="F182" s="491">
        <f>IF($D$5="ja",SUM(D182:E182),"")</f>
        <v>0</v>
      </c>
      <c r="G182" s="513" t="e">
        <f>D182/D$195</f>
        <v>#DIV/0!</v>
      </c>
      <c r="H182" s="501" t="e">
        <f ca="1">IF($D$5="ja",F182/F$195,"")</f>
        <v>#DIV/0!</v>
      </c>
      <c r="I182" s="41"/>
      <c r="J182" s="42"/>
      <c r="K182" s="42"/>
      <c r="L182" s="42"/>
      <c r="M182" s="42"/>
      <c r="N182" s="42"/>
      <c r="O182" s="42"/>
      <c r="P182" s="42"/>
      <c r="Q182" s="42"/>
      <c r="R182" s="42"/>
      <c r="S182" s="42"/>
      <c r="T182" s="42"/>
      <c r="Z182" s="35"/>
      <c r="AA182" s="28"/>
      <c r="AB182" s="34"/>
      <c r="AC182" s="172" t="s">
        <v>84</v>
      </c>
      <c r="AD182" s="173" t="s">
        <v>95</v>
      </c>
      <c r="AE182" s="297">
        <f>SUMIF(AM$149:AM$156,$AC182,AF$149:AF$156)</f>
        <v>0</v>
      </c>
      <c r="AF182" s="297">
        <f>IF($AE$5="ja",SUMIF(AM$158:AM$161,$AC182,AF$158:AF$161),"")</f>
        <v>0</v>
      </c>
      <c r="AG182" s="491">
        <f>IF($AE$5="ja",SUM(AE182:AF182),"")</f>
        <v>0</v>
      </c>
      <c r="AH182" s="513" t="e">
        <f>AE182/AE$195</f>
        <v>#DIV/0!</v>
      </c>
      <c r="AI182" s="501" t="e">
        <f ca="1">IF($AE$5="ja",AG182/AG$195,"")</f>
        <v>#DIV/0!</v>
      </c>
      <c r="AJ182" s="41"/>
      <c r="AK182" s="42"/>
      <c r="AL182" s="42"/>
      <c r="AM182" s="42"/>
      <c r="AN182" s="42"/>
      <c r="AO182" s="42"/>
      <c r="AP182" s="42"/>
      <c r="AQ182" s="42"/>
      <c r="AR182" s="42"/>
      <c r="AS182" s="42"/>
      <c r="AT182" s="42"/>
      <c r="AU182" s="42"/>
      <c r="BA182" s="35"/>
    </row>
    <row r="183" spans="1:53" ht="30.75" customHeight="1" x14ac:dyDescent="0.35">
      <c r="A183" s="34"/>
      <c r="B183" s="172" t="s">
        <v>85</v>
      </c>
      <c r="C183" s="173" t="s">
        <v>96</v>
      </c>
      <c r="D183" s="297">
        <f>SUMIF(L$149:L$156,$B183,E$149:E$156)</f>
        <v>0</v>
      </c>
      <c r="E183" s="297">
        <f>IF($D$5="ja",SUMIF(L$158:L$161,$B183,E$158:E$161),"")</f>
        <v>0</v>
      </c>
      <c r="F183" s="491">
        <f>IF($D$5="ja",SUM(D183:E183),"")</f>
        <v>0</v>
      </c>
      <c r="G183" s="513" t="e">
        <f>D183/D$195</f>
        <v>#DIV/0!</v>
      </c>
      <c r="H183" s="501" t="e">
        <f ca="1">IF($D$5="ja",F183/F$195,"")</f>
        <v>#DIV/0!</v>
      </c>
      <c r="I183" s="41"/>
      <c r="J183" s="42"/>
      <c r="K183" s="42"/>
      <c r="L183" s="42"/>
      <c r="M183" s="42"/>
      <c r="N183" s="42"/>
      <c r="O183" s="42"/>
      <c r="P183" s="42"/>
      <c r="Q183" s="42"/>
      <c r="R183" s="42"/>
      <c r="S183" s="42"/>
      <c r="T183" s="42"/>
      <c r="Z183" s="35"/>
      <c r="AA183" s="28"/>
      <c r="AB183" s="34"/>
      <c r="AC183" s="172" t="s">
        <v>85</v>
      </c>
      <c r="AD183" s="173" t="s">
        <v>96</v>
      </c>
      <c r="AE183" s="297">
        <f>SUMIF(AM$149:AM$156,$AC183,AF$149:AF$156)</f>
        <v>0</v>
      </c>
      <c r="AF183" s="297">
        <f>IF($AE$5="ja",SUMIF(AM$158:AM$161,$AC183,AF$158:AF$161),"")</f>
        <v>0</v>
      </c>
      <c r="AG183" s="491">
        <f>IF($AE$5="ja",SUM(AE183:AF183),"")</f>
        <v>0</v>
      </c>
      <c r="AH183" s="513" t="e">
        <f>AE183/AE$195</f>
        <v>#DIV/0!</v>
      </c>
      <c r="AI183" s="501" t="e">
        <f ca="1">IF($AE$5="ja",AG183/AG$195,"")</f>
        <v>#DIV/0!</v>
      </c>
      <c r="AJ183" s="41"/>
      <c r="AK183" s="42"/>
      <c r="AL183" s="42"/>
      <c r="AM183" s="42"/>
      <c r="AN183" s="42"/>
      <c r="AO183" s="42"/>
      <c r="AP183" s="42"/>
      <c r="AQ183" s="42"/>
      <c r="AR183" s="42"/>
      <c r="AS183" s="42"/>
      <c r="AT183" s="42"/>
      <c r="AU183" s="42"/>
      <c r="BA183" s="35"/>
    </row>
    <row r="184" spans="1:53" s="9" customFormat="1" ht="18.75" customHeight="1" x14ac:dyDescent="0.35">
      <c r="A184" s="37"/>
      <c r="B184" s="254" t="s">
        <v>204</v>
      </c>
      <c r="C184" s="255" t="s">
        <v>242</v>
      </c>
      <c r="D184" s="298">
        <f>SUM(D182:D183)</f>
        <v>0</v>
      </c>
      <c r="E184" s="298">
        <f>IF($D$5="ja",SUM(E182:E183),"")</f>
        <v>0</v>
      </c>
      <c r="F184" s="492">
        <f>IF($D$5="ja",SUM(D184:E184),"")</f>
        <v>0</v>
      </c>
      <c r="G184" s="514" t="e">
        <f>SUM(G182:G183)</f>
        <v>#DIV/0!</v>
      </c>
      <c r="H184" s="503" t="e">
        <f ca="1">SUM(H182:H183)</f>
        <v>#DIV/0!</v>
      </c>
      <c r="I184" s="49"/>
      <c r="J184" s="49"/>
      <c r="K184" s="49"/>
      <c r="L184" s="49"/>
      <c r="M184" s="49"/>
      <c r="N184" s="49"/>
      <c r="O184" s="49"/>
      <c r="P184" s="49"/>
      <c r="Q184" s="49"/>
      <c r="R184" s="49"/>
      <c r="S184" s="49"/>
      <c r="T184" s="49"/>
      <c r="Z184" s="40"/>
      <c r="AA184" s="426"/>
      <c r="AB184" s="37"/>
      <c r="AC184" s="254" t="s">
        <v>204</v>
      </c>
      <c r="AD184" s="255" t="s">
        <v>242</v>
      </c>
      <c r="AE184" s="298">
        <f>SUM(AE182:AE183)</f>
        <v>0</v>
      </c>
      <c r="AF184" s="298">
        <f>IF($AE$5="ja",SUM(AF182:AF183),"")</f>
        <v>0</v>
      </c>
      <c r="AG184" s="492">
        <f>IF($AE$5="ja",SUM(AE184:AF184),"")</f>
        <v>0</v>
      </c>
      <c r="AH184" s="514" t="e">
        <f>SUM(AH182:AH183)</f>
        <v>#DIV/0!</v>
      </c>
      <c r="AI184" s="503" t="e">
        <f ca="1">SUM(AI182:AI183)</f>
        <v>#DIV/0!</v>
      </c>
      <c r="AJ184" s="49"/>
      <c r="AK184" s="49"/>
      <c r="AL184" s="49"/>
      <c r="AM184" s="49"/>
      <c r="AN184" s="49"/>
      <c r="AO184" s="49"/>
      <c r="AP184" s="49"/>
      <c r="AQ184" s="49"/>
      <c r="AR184" s="49"/>
      <c r="AS184" s="49"/>
      <c r="AT184" s="49"/>
      <c r="AU184" s="49"/>
      <c r="BA184" s="40"/>
    </row>
    <row r="185" spans="1:53" ht="19.5" customHeight="1" x14ac:dyDescent="0.35">
      <c r="A185" s="34"/>
      <c r="B185" s="251" t="s">
        <v>103</v>
      </c>
      <c r="C185" s="252"/>
      <c r="D185" s="252"/>
      <c r="E185" s="252"/>
      <c r="F185" s="493"/>
      <c r="G185" s="515"/>
      <c r="H185" s="502"/>
      <c r="I185" s="41"/>
      <c r="J185" s="42"/>
      <c r="K185" s="42"/>
      <c r="L185" s="42"/>
      <c r="M185" s="42"/>
      <c r="N185" s="42"/>
      <c r="O185" s="42"/>
      <c r="P185" s="42"/>
      <c r="Q185" s="42"/>
      <c r="R185" s="42"/>
      <c r="S185" s="42"/>
      <c r="T185" s="42"/>
      <c r="Z185" s="35"/>
      <c r="AA185" s="28"/>
      <c r="AB185" s="34"/>
      <c r="AC185" s="251" t="s">
        <v>103</v>
      </c>
      <c r="AD185" s="252"/>
      <c r="AE185" s="252"/>
      <c r="AF185" s="252"/>
      <c r="AG185" s="493"/>
      <c r="AH185" s="515"/>
      <c r="AI185" s="502"/>
      <c r="AJ185" s="41"/>
      <c r="AK185" s="42"/>
      <c r="AL185" s="42"/>
      <c r="AM185" s="42"/>
      <c r="AN185" s="42"/>
      <c r="AO185" s="42"/>
      <c r="AP185" s="42"/>
      <c r="AQ185" s="42"/>
      <c r="AR185" s="42"/>
      <c r="AS185" s="42"/>
      <c r="AT185" s="42"/>
      <c r="AU185" s="42"/>
      <c r="BA185" s="35"/>
    </row>
    <row r="186" spans="1:53" ht="18.75" customHeight="1" x14ac:dyDescent="0.35">
      <c r="A186" s="34"/>
      <c r="B186" s="172" t="s">
        <v>84</v>
      </c>
      <c r="C186" s="173" t="s">
        <v>97</v>
      </c>
      <c r="D186" s="297">
        <f t="shared" ref="D186:D192" si="27">SUMIF(M$149:M$156,$B186,F$149:F$156)</f>
        <v>0</v>
      </c>
      <c r="E186" s="297">
        <f>IF($D$5="ja",SUM(SUMIF(M$158:M$160,$B186,F$158:F$160),$I$161),"")</f>
        <v>0</v>
      </c>
      <c r="F186" s="491">
        <f t="shared" ref="F186:F192" si="28">IF($D$5="ja",SUM(D186:E186),"")</f>
        <v>0</v>
      </c>
      <c r="G186" s="513" t="e">
        <f t="shared" ref="G186:G192" si="29">D186/D$195</f>
        <v>#DIV/0!</v>
      </c>
      <c r="H186" s="501" t="e">
        <f t="shared" ref="H186:H192" ca="1" si="30">IF($D$5="ja",F186/F$195,"")</f>
        <v>#DIV/0!</v>
      </c>
      <c r="I186" s="41"/>
      <c r="J186" s="42"/>
      <c r="K186" s="42"/>
      <c r="L186" s="42"/>
      <c r="M186" s="42"/>
      <c r="N186" s="42"/>
      <c r="O186" s="42"/>
      <c r="P186" s="42"/>
      <c r="Q186" s="42"/>
      <c r="R186" s="42"/>
      <c r="S186" s="42"/>
      <c r="T186" s="42"/>
      <c r="Z186" s="35"/>
      <c r="AA186" s="28"/>
      <c r="AB186" s="34"/>
      <c r="AC186" s="172" t="s">
        <v>84</v>
      </c>
      <c r="AD186" s="173" t="s">
        <v>97</v>
      </c>
      <c r="AE186" s="297">
        <f t="shared" ref="AE186:AE192" si="31">SUMIF(AN$149:AN$156,$AC186,AG$149:AG$156)</f>
        <v>0</v>
      </c>
      <c r="AF186" s="297">
        <f>IF($AE$5="ja",SUM(SUMIF(AN$158:AN$160,$AC186,AG$158:AG$160),$I$161),"")</f>
        <v>0</v>
      </c>
      <c r="AG186" s="491">
        <f t="shared" ref="AG186:AG193" si="32">IF($AE$5="ja",SUM(AE186:AF186),"")</f>
        <v>0</v>
      </c>
      <c r="AH186" s="513" t="e">
        <f t="shared" ref="AH186:AH192" si="33">AE186/AE$195</f>
        <v>#DIV/0!</v>
      </c>
      <c r="AI186" s="501" t="e">
        <f t="shared" ref="AI186:AI192" ca="1" si="34">IF($AE$5="ja",AG186/AG$195,"")</f>
        <v>#DIV/0!</v>
      </c>
      <c r="AJ186" s="41"/>
      <c r="AK186" s="42"/>
      <c r="AL186" s="42"/>
      <c r="AM186" s="42"/>
      <c r="AN186" s="42"/>
      <c r="AO186" s="42"/>
      <c r="AP186" s="42"/>
      <c r="AQ186" s="42"/>
      <c r="AR186" s="42"/>
      <c r="AS186" s="42"/>
      <c r="AT186" s="42"/>
      <c r="AU186" s="42"/>
      <c r="BA186" s="35"/>
    </row>
    <row r="187" spans="1:53" ht="30.75" customHeight="1" x14ac:dyDescent="0.35">
      <c r="A187" s="34"/>
      <c r="B187" s="172" t="s">
        <v>86</v>
      </c>
      <c r="C187" s="173" t="s">
        <v>98</v>
      </c>
      <c r="D187" s="297">
        <f t="shared" si="27"/>
        <v>0</v>
      </c>
      <c r="E187" s="297">
        <f>IF($D$5="ja",SUMIF(M$158:M$161,$B187,F$158:F$161),"")</f>
        <v>0</v>
      </c>
      <c r="F187" s="491">
        <f t="shared" si="28"/>
        <v>0</v>
      </c>
      <c r="G187" s="513" t="e">
        <f t="shared" si="29"/>
        <v>#DIV/0!</v>
      </c>
      <c r="H187" s="501" t="e">
        <f t="shared" ca="1" si="30"/>
        <v>#DIV/0!</v>
      </c>
      <c r="I187" s="41"/>
      <c r="J187" s="42"/>
      <c r="K187" s="42"/>
      <c r="L187" s="42"/>
      <c r="M187" s="42"/>
      <c r="N187" s="42"/>
      <c r="O187" s="42"/>
      <c r="P187" s="42"/>
      <c r="Q187" s="42"/>
      <c r="R187" s="42"/>
      <c r="S187" s="42"/>
      <c r="T187" s="42"/>
      <c r="Z187" s="35"/>
      <c r="AA187" s="28"/>
      <c r="AB187" s="34"/>
      <c r="AC187" s="172" t="s">
        <v>86</v>
      </c>
      <c r="AD187" s="173" t="s">
        <v>98</v>
      </c>
      <c r="AE187" s="297">
        <f t="shared" si="31"/>
        <v>0</v>
      </c>
      <c r="AF187" s="297">
        <f>IF($AE$5="ja",SUMIF(AN$158:AN$161,$AC187,AG$158:AG$161),"")</f>
        <v>0</v>
      </c>
      <c r="AG187" s="491">
        <f t="shared" si="32"/>
        <v>0</v>
      </c>
      <c r="AH187" s="513" t="e">
        <f t="shared" si="33"/>
        <v>#DIV/0!</v>
      </c>
      <c r="AI187" s="501" t="e">
        <f t="shared" ca="1" si="34"/>
        <v>#DIV/0!</v>
      </c>
      <c r="AJ187" s="41"/>
      <c r="AK187" s="42"/>
      <c r="AL187" s="42"/>
      <c r="AM187" s="42"/>
      <c r="AN187" s="42"/>
      <c r="AO187" s="42"/>
      <c r="AP187" s="42"/>
      <c r="AQ187" s="42"/>
      <c r="AR187" s="42"/>
      <c r="AS187" s="42"/>
      <c r="AT187" s="42"/>
      <c r="AU187" s="42"/>
      <c r="BA187" s="35"/>
    </row>
    <row r="188" spans="1:53" ht="18.75" customHeight="1" x14ac:dyDescent="0.35">
      <c r="A188" s="34"/>
      <c r="B188" s="172" t="s">
        <v>87</v>
      </c>
      <c r="C188" s="173" t="s">
        <v>99</v>
      </c>
      <c r="D188" s="297">
        <f t="shared" si="27"/>
        <v>0</v>
      </c>
      <c r="E188" s="297">
        <f ca="1">IF($D$5="ja",SUMIF(M$158:M$161,$B188,F$159:F$161),"")</f>
        <v>0</v>
      </c>
      <c r="F188" s="491">
        <f ca="1">IF($D$5="ja",SUM(D188:E188),"")</f>
        <v>0</v>
      </c>
      <c r="G188" s="513" t="e">
        <f t="shared" si="29"/>
        <v>#DIV/0!</v>
      </c>
      <c r="H188" s="501" t="e">
        <f t="shared" ca="1" si="30"/>
        <v>#DIV/0!</v>
      </c>
      <c r="I188" s="41"/>
      <c r="J188" s="42"/>
      <c r="K188" s="42"/>
      <c r="L188" s="42"/>
      <c r="M188" s="42"/>
      <c r="N188" s="42"/>
      <c r="O188" s="42"/>
      <c r="P188" s="42"/>
      <c r="Q188" s="42"/>
      <c r="R188" s="42"/>
      <c r="S188" s="42"/>
      <c r="T188" s="42"/>
      <c r="Z188" s="35"/>
      <c r="AA188" s="28"/>
      <c r="AB188" s="34"/>
      <c r="AC188" s="172" t="s">
        <v>87</v>
      </c>
      <c r="AD188" s="173" t="s">
        <v>99</v>
      </c>
      <c r="AE188" s="297">
        <f t="shared" si="31"/>
        <v>0</v>
      </c>
      <c r="AF188" s="297">
        <f ca="1">IF($AE$5="ja",SUMIF(AN$158:AN$161,$AC188,AG$159:AG$161),"")</f>
        <v>0</v>
      </c>
      <c r="AG188" s="491">
        <f t="shared" ca="1" si="32"/>
        <v>0</v>
      </c>
      <c r="AH188" s="513" t="e">
        <f t="shared" si="33"/>
        <v>#DIV/0!</v>
      </c>
      <c r="AI188" s="501" t="e">
        <f t="shared" ca="1" si="34"/>
        <v>#DIV/0!</v>
      </c>
      <c r="AJ188" s="41"/>
      <c r="AK188" s="42"/>
      <c r="AL188" s="42"/>
      <c r="AM188" s="42"/>
      <c r="AN188" s="42"/>
      <c r="AO188" s="42"/>
      <c r="AP188" s="42"/>
      <c r="AQ188" s="42"/>
      <c r="AR188" s="42"/>
      <c r="AS188" s="42"/>
      <c r="AT188" s="42"/>
      <c r="AU188" s="42"/>
      <c r="BA188" s="35"/>
    </row>
    <row r="189" spans="1:53" ht="18.75" customHeight="1" x14ac:dyDescent="0.35">
      <c r="A189" s="34"/>
      <c r="B189" s="172" t="s">
        <v>88</v>
      </c>
      <c r="C189" s="173" t="s">
        <v>83</v>
      </c>
      <c r="D189" s="297">
        <f t="shared" si="27"/>
        <v>0</v>
      </c>
      <c r="E189" s="297">
        <f>IF($D$5="ja",SUM(SUMIF($N$158:$N$160,$B189,F$158:F$160),$J$161),"")</f>
        <v>0</v>
      </c>
      <c r="F189" s="491">
        <f t="shared" si="28"/>
        <v>0</v>
      </c>
      <c r="G189" s="513" t="e">
        <f t="shared" si="29"/>
        <v>#DIV/0!</v>
      </c>
      <c r="H189" s="501" t="e">
        <f t="shared" ca="1" si="30"/>
        <v>#DIV/0!</v>
      </c>
      <c r="I189" s="41"/>
      <c r="J189" s="42"/>
      <c r="K189" s="42"/>
      <c r="L189" s="42"/>
      <c r="M189" s="42"/>
      <c r="N189" s="42"/>
      <c r="O189" s="42"/>
      <c r="P189" s="42"/>
      <c r="Q189" s="42"/>
      <c r="R189" s="42"/>
      <c r="S189" s="42"/>
      <c r="T189" s="42"/>
      <c r="Z189" s="35"/>
      <c r="AA189" s="28"/>
      <c r="AB189" s="34"/>
      <c r="AC189" s="172" t="s">
        <v>88</v>
      </c>
      <c r="AD189" s="173" t="s">
        <v>83</v>
      </c>
      <c r="AE189" s="297">
        <f t="shared" si="31"/>
        <v>0</v>
      </c>
      <c r="AF189" s="297">
        <f>IF($AE$5="ja",SUM(SUMIF($N$158:$N$160,$AC189,AG$158:AG$160),$J$161),"")</f>
        <v>0</v>
      </c>
      <c r="AG189" s="491">
        <f t="shared" si="32"/>
        <v>0</v>
      </c>
      <c r="AH189" s="513" t="e">
        <f t="shared" si="33"/>
        <v>#DIV/0!</v>
      </c>
      <c r="AI189" s="501" t="e">
        <f t="shared" ca="1" si="34"/>
        <v>#DIV/0!</v>
      </c>
      <c r="AJ189" s="41"/>
      <c r="AK189" s="42"/>
      <c r="AL189" s="42"/>
      <c r="AM189" s="42"/>
      <c r="AN189" s="42"/>
      <c r="AO189" s="42"/>
      <c r="AP189" s="42"/>
      <c r="AQ189" s="42"/>
      <c r="AR189" s="42"/>
      <c r="AS189" s="42"/>
      <c r="AT189" s="42"/>
      <c r="AU189" s="42"/>
      <c r="BA189" s="35"/>
    </row>
    <row r="190" spans="1:53" ht="18.75" customHeight="1" x14ac:dyDescent="0.35">
      <c r="A190" s="34"/>
      <c r="B190" s="172" t="s">
        <v>89</v>
      </c>
      <c r="C190" s="173" t="s">
        <v>18</v>
      </c>
      <c r="D190" s="297">
        <f t="shared" si="27"/>
        <v>0</v>
      </c>
      <c r="E190" s="297">
        <f>IF($D$5="ja",SUMIF(M$158:M$161,$B190,F$158:F$161),"")</f>
        <v>0</v>
      </c>
      <c r="F190" s="491">
        <f t="shared" si="28"/>
        <v>0</v>
      </c>
      <c r="G190" s="513" t="e">
        <f t="shared" si="29"/>
        <v>#DIV/0!</v>
      </c>
      <c r="H190" s="501" t="e">
        <f t="shared" ca="1" si="30"/>
        <v>#DIV/0!</v>
      </c>
      <c r="I190" s="41"/>
      <c r="J190" s="42"/>
      <c r="K190" s="42"/>
      <c r="L190" s="42"/>
      <c r="M190" s="42"/>
      <c r="N190" s="42"/>
      <c r="O190" s="42"/>
      <c r="P190" s="42"/>
      <c r="Q190" s="42"/>
      <c r="R190" s="42"/>
      <c r="S190" s="42"/>
      <c r="T190" s="42"/>
      <c r="Z190" s="35"/>
      <c r="AA190" s="28"/>
      <c r="AB190" s="34"/>
      <c r="AC190" s="172" t="s">
        <v>89</v>
      </c>
      <c r="AD190" s="173" t="s">
        <v>18</v>
      </c>
      <c r="AE190" s="297">
        <f t="shared" si="31"/>
        <v>0</v>
      </c>
      <c r="AF190" s="297">
        <f>IF($AE$5="ja",SUMIF(AN$158:AN$161,$AC190,AG$158:AG$161),"")</f>
        <v>0</v>
      </c>
      <c r="AG190" s="491">
        <f t="shared" si="32"/>
        <v>0</v>
      </c>
      <c r="AH190" s="513" t="e">
        <f t="shared" si="33"/>
        <v>#DIV/0!</v>
      </c>
      <c r="AI190" s="501" t="e">
        <f t="shared" ca="1" si="34"/>
        <v>#DIV/0!</v>
      </c>
      <c r="AJ190" s="41"/>
      <c r="AK190" s="42"/>
      <c r="AL190" s="42"/>
      <c r="AM190" s="42"/>
      <c r="AN190" s="42"/>
      <c r="AO190" s="42"/>
      <c r="AP190" s="42"/>
      <c r="AQ190" s="42"/>
      <c r="AR190" s="42"/>
      <c r="AS190" s="42"/>
      <c r="AT190" s="42"/>
      <c r="AU190" s="42"/>
      <c r="BA190" s="35"/>
    </row>
    <row r="191" spans="1:53" ht="18.75" customHeight="1" x14ac:dyDescent="0.35">
      <c r="A191" s="34"/>
      <c r="B191" s="172" t="s">
        <v>90</v>
      </c>
      <c r="C191" s="173" t="s">
        <v>68</v>
      </c>
      <c r="D191" s="297">
        <f t="shared" si="27"/>
        <v>0</v>
      </c>
      <c r="E191" s="297">
        <f>IF($D$5="ja",SUMIF(M$158:M$161,$B191,F$158:F$161),"")</f>
        <v>0</v>
      </c>
      <c r="F191" s="491">
        <f t="shared" si="28"/>
        <v>0</v>
      </c>
      <c r="G191" s="513" t="e">
        <f t="shared" si="29"/>
        <v>#DIV/0!</v>
      </c>
      <c r="H191" s="501" t="e">
        <f t="shared" ca="1" si="30"/>
        <v>#DIV/0!</v>
      </c>
      <c r="I191" s="41"/>
      <c r="J191" s="42"/>
      <c r="K191" s="42"/>
      <c r="L191" s="42"/>
      <c r="M191" s="42"/>
      <c r="N191" s="42"/>
      <c r="O191" s="42"/>
      <c r="P191" s="42"/>
      <c r="Q191" s="42"/>
      <c r="R191" s="42"/>
      <c r="S191" s="42"/>
      <c r="T191" s="42"/>
      <c r="Z191" s="35"/>
      <c r="AA191" s="28"/>
      <c r="AB191" s="34"/>
      <c r="AC191" s="172" t="s">
        <v>90</v>
      </c>
      <c r="AD191" s="173" t="s">
        <v>68</v>
      </c>
      <c r="AE191" s="297">
        <f t="shared" si="31"/>
        <v>0</v>
      </c>
      <c r="AF191" s="297">
        <f>IF($AE$5="ja",SUMIF(AN$158:AN$161,$AC191,AG$158:AG$161),"")</f>
        <v>0</v>
      </c>
      <c r="AG191" s="491">
        <f t="shared" si="32"/>
        <v>0</v>
      </c>
      <c r="AH191" s="513" t="e">
        <f t="shared" si="33"/>
        <v>#DIV/0!</v>
      </c>
      <c r="AI191" s="501" t="e">
        <f t="shared" ca="1" si="34"/>
        <v>#DIV/0!</v>
      </c>
      <c r="AJ191" s="41"/>
      <c r="AK191" s="42"/>
      <c r="AL191" s="42"/>
      <c r="AM191" s="42"/>
      <c r="AN191" s="42"/>
      <c r="AO191" s="42"/>
      <c r="AP191" s="42"/>
      <c r="AQ191" s="42"/>
      <c r="AR191" s="42"/>
      <c r="AS191" s="42"/>
      <c r="AT191" s="42"/>
      <c r="AU191" s="42"/>
      <c r="BA191" s="35"/>
    </row>
    <row r="192" spans="1:53" ht="18.75" customHeight="1" x14ac:dyDescent="0.35">
      <c r="A192" s="34"/>
      <c r="B192" s="172" t="s">
        <v>91</v>
      </c>
      <c r="C192" s="173" t="s">
        <v>100</v>
      </c>
      <c r="D192" s="297">
        <f t="shared" si="27"/>
        <v>0</v>
      </c>
      <c r="E192" s="297">
        <f>IF($D$5="ja",SUMIF(M$158:M$161,$B192,F$158:F$161),"")</f>
        <v>0</v>
      </c>
      <c r="F192" s="491">
        <f t="shared" si="28"/>
        <v>0</v>
      </c>
      <c r="G192" s="513" t="e">
        <f t="shared" si="29"/>
        <v>#DIV/0!</v>
      </c>
      <c r="H192" s="501" t="e">
        <f t="shared" ca="1" si="30"/>
        <v>#DIV/0!</v>
      </c>
      <c r="I192" s="41"/>
      <c r="J192" s="42"/>
      <c r="K192" s="42"/>
      <c r="L192" s="42"/>
      <c r="M192" s="42"/>
      <c r="N192" s="42"/>
      <c r="O192" s="42"/>
      <c r="P192" s="42"/>
      <c r="Q192" s="42"/>
      <c r="R192" s="42"/>
      <c r="S192" s="42"/>
      <c r="T192" s="42"/>
      <c r="Z192" s="35"/>
      <c r="AA192" s="28"/>
      <c r="AB192" s="34"/>
      <c r="AC192" s="172" t="s">
        <v>91</v>
      </c>
      <c r="AD192" s="173" t="s">
        <v>100</v>
      </c>
      <c r="AE192" s="297">
        <f t="shared" si="31"/>
        <v>0</v>
      </c>
      <c r="AF192" s="297">
        <f>IF($AE$5="ja",SUMIF(AN$158:AN$161,$AC192,AG$158:AG$161),"")</f>
        <v>0</v>
      </c>
      <c r="AG192" s="491">
        <f t="shared" si="32"/>
        <v>0</v>
      </c>
      <c r="AH192" s="513" t="e">
        <f t="shared" si="33"/>
        <v>#DIV/0!</v>
      </c>
      <c r="AI192" s="501" t="e">
        <f t="shared" ca="1" si="34"/>
        <v>#DIV/0!</v>
      </c>
      <c r="AJ192" s="41"/>
      <c r="AK192" s="42"/>
      <c r="AL192" s="42"/>
      <c r="AM192" s="42"/>
      <c r="AN192" s="42"/>
      <c r="AO192" s="42"/>
      <c r="AP192" s="42"/>
      <c r="AQ192" s="42"/>
      <c r="AR192" s="42"/>
      <c r="AS192" s="42"/>
      <c r="AT192" s="42"/>
      <c r="AU192" s="42"/>
      <c r="BA192" s="35"/>
    </row>
    <row r="193" spans="1:53" s="9" customFormat="1" ht="18.75" customHeight="1" x14ac:dyDescent="0.35">
      <c r="A193" s="37"/>
      <c r="B193" s="254" t="s">
        <v>204</v>
      </c>
      <c r="C193" s="255" t="s">
        <v>243</v>
      </c>
      <c r="D193" s="298">
        <f>SUM(D186:D192)</f>
        <v>0</v>
      </c>
      <c r="E193" s="298">
        <f ca="1">IF($D$5="ja",SUM(E186:E192),"")</f>
        <v>0</v>
      </c>
      <c r="F193" s="492">
        <f ca="1">IF($D$5="ja",SUM(D193:E193),"")</f>
        <v>0</v>
      </c>
      <c r="G193" s="514" t="e">
        <f>SUM(G186:G192)</f>
        <v>#DIV/0!</v>
      </c>
      <c r="H193" s="503" t="e">
        <f ca="1">SUM(H186:H192)</f>
        <v>#DIV/0!</v>
      </c>
      <c r="I193" s="49"/>
      <c r="J193" s="49"/>
      <c r="K193" s="49"/>
      <c r="L193" s="49"/>
      <c r="M193" s="49"/>
      <c r="N193" s="49"/>
      <c r="O193" s="49"/>
      <c r="P193" s="49"/>
      <c r="Q193" s="49"/>
      <c r="R193" s="49"/>
      <c r="S193" s="49"/>
      <c r="T193" s="49"/>
      <c r="Z193" s="40"/>
      <c r="AA193" s="426"/>
      <c r="AB193" s="37"/>
      <c r="AC193" s="254" t="s">
        <v>204</v>
      </c>
      <c r="AD193" s="255" t="s">
        <v>243</v>
      </c>
      <c r="AE193" s="298">
        <f>SUM(AE186:AE192)</f>
        <v>0</v>
      </c>
      <c r="AF193" s="298">
        <f ca="1">IF($AE$5="ja",SUM(AF186:AF192),"")</f>
        <v>0</v>
      </c>
      <c r="AG193" s="492">
        <f t="shared" ca="1" si="32"/>
        <v>0</v>
      </c>
      <c r="AH193" s="514" t="e">
        <f>SUM(AH186:AH192)</f>
        <v>#DIV/0!</v>
      </c>
      <c r="AI193" s="503" t="e">
        <f ca="1">SUM(AI186:AI192)</f>
        <v>#DIV/0!</v>
      </c>
      <c r="AJ193" s="49"/>
      <c r="AK193" s="49"/>
      <c r="AL193" s="49"/>
      <c r="AM193" s="49"/>
      <c r="AN193" s="49"/>
      <c r="AO193" s="49"/>
      <c r="AP193" s="49"/>
      <c r="AQ193" s="49"/>
      <c r="AR193" s="49"/>
      <c r="AS193" s="49"/>
      <c r="AT193" s="49"/>
      <c r="AU193" s="49"/>
      <c r="BA193" s="40"/>
    </row>
    <row r="194" spans="1:53" ht="7" customHeight="1" x14ac:dyDescent="0.35">
      <c r="A194" s="34"/>
      <c r="B194" s="247"/>
      <c r="C194" s="248"/>
      <c r="D194" s="249"/>
      <c r="E194" s="249"/>
      <c r="F194" s="494"/>
      <c r="G194" s="516"/>
      <c r="H194" s="504"/>
      <c r="I194" s="42"/>
      <c r="J194" s="42"/>
      <c r="K194" s="42"/>
      <c r="L194" s="42"/>
      <c r="M194" s="42"/>
      <c r="N194" s="42"/>
      <c r="O194" s="42"/>
      <c r="P194" s="42"/>
      <c r="Q194" s="42"/>
      <c r="R194" s="42"/>
      <c r="S194" s="42"/>
      <c r="T194" s="42"/>
      <c r="Z194" s="35"/>
      <c r="AA194" s="28"/>
      <c r="AB194" s="34"/>
      <c r="AC194" s="247"/>
      <c r="AD194" s="248"/>
      <c r="AE194" s="249"/>
      <c r="AF194" s="249"/>
      <c r="AG194" s="494"/>
      <c r="AH194" s="516"/>
      <c r="AI194" s="504"/>
      <c r="AJ194" s="42"/>
      <c r="AK194" s="42"/>
      <c r="AL194" s="42"/>
      <c r="AM194" s="42"/>
      <c r="AN194" s="42"/>
      <c r="AO194" s="42"/>
      <c r="AP194" s="42"/>
      <c r="AQ194" s="42"/>
      <c r="AR194" s="42"/>
      <c r="AS194" s="42"/>
      <c r="AT194" s="42"/>
      <c r="AU194" s="42"/>
      <c r="BA194" s="35"/>
    </row>
    <row r="195" spans="1:53" ht="18.5" customHeight="1" x14ac:dyDescent="0.35">
      <c r="A195" s="34"/>
      <c r="B195" s="164" t="s">
        <v>104</v>
      </c>
      <c r="C195" s="256"/>
      <c r="D195" s="294">
        <f>SUM(D180,D184,D193)</f>
        <v>0</v>
      </c>
      <c r="E195" s="294">
        <f ca="1">IF($D$5="ja",SUM(E180,E184,E193),"")</f>
        <v>0</v>
      </c>
      <c r="F195" s="486">
        <f ca="1">IF($D$5="ja",SUM(D195:E195),"")</f>
        <v>0</v>
      </c>
      <c r="G195" s="517" t="e">
        <f>SUM(G180,G184,G193)</f>
        <v>#DIV/0!</v>
      </c>
      <c r="H195" s="505" t="e">
        <f ca="1">SUM(H180,H184,H193)</f>
        <v>#DIV/0!</v>
      </c>
      <c r="I195" s="42"/>
      <c r="J195" s="42"/>
      <c r="K195" s="42"/>
      <c r="L195" s="42"/>
      <c r="M195" s="42"/>
      <c r="N195" s="42"/>
      <c r="O195" s="42"/>
      <c r="P195" s="42"/>
      <c r="Q195" s="42"/>
      <c r="R195" s="42"/>
      <c r="S195" s="42"/>
      <c r="T195" s="42"/>
      <c r="Z195" s="35"/>
      <c r="AA195" s="28"/>
      <c r="AB195" s="34"/>
      <c r="AC195" s="164" t="s">
        <v>104</v>
      </c>
      <c r="AD195" s="256"/>
      <c r="AE195" s="294">
        <f>SUM(AE180,AE184,AE193)</f>
        <v>0</v>
      </c>
      <c r="AF195" s="294">
        <f ca="1">IF($AE$5="ja",SUM(AF180,AF184,AF193),"")</f>
        <v>0</v>
      </c>
      <c r="AG195" s="486">
        <f ca="1">IF($AE$5="ja",SUM(AE195:AF195),"")</f>
        <v>0</v>
      </c>
      <c r="AH195" s="517" t="e">
        <f>SUM(AH180,AH184,AH193)</f>
        <v>#DIV/0!</v>
      </c>
      <c r="AI195" s="505" t="e">
        <f ca="1">SUM(AI180,AI184,AI193)</f>
        <v>#DIV/0!</v>
      </c>
      <c r="AJ195" s="42"/>
      <c r="AK195" s="42"/>
      <c r="AL195" s="42"/>
      <c r="AM195" s="42"/>
      <c r="AN195" s="42"/>
      <c r="AO195" s="42"/>
      <c r="AP195" s="42"/>
      <c r="AQ195" s="42"/>
      <c r="AR195" s="42"/>
      <c r="AS195" s="42"/>
      <c r="AT195" s="42"/>
      <c r="AU195" s="42"/>
      <c r="BA195" s="35"/>
    </row>
    <row r="196" spans="1:53" ht="7" customHeight="1" x14ac:dyDescent="0.35">
      <c r="A196" s="34"/>
      <c r="F196" s="510"/>
      <c r="G196" s="518"/>
      <c r="I196" s="42"/>
      <c r="J196" s="42"/>
      <c r="K196" s="42"/>
      <c r="L196" s="42"/>
      <c r="M196" s="42"/>
      <c r="N196" s="42"/>
      <c r="O196" s="42"/>
      <c r="P196" s="42"/>
      <c r="Q196" s="42"/>
      <c r="R196" s="42"/>
      <c r="S196" s="42"/>
      <c r="T196" s="42"/>
      <c r="Z196" s="35"/>
      <c r="AA196" s="28"/>
      <c r="AB196" s="34"/>
      <c r="AC196" s="15"/>
      <c r="AD196" s="10"/>
      <c r="AG196" s="510"/>
      <c r="AH196" s="518"/>
      <c r="AI196" s="8"/>
      <c r="AJ196" s="42"/>
      <c r="AK196" s="42"/>
      <c r="AL196" s="42"/>
      <c r="AM196" s="42"/>
      <c r="AN196" s="42"/>
      <c r="AO196" s="42"/>
      <c r="AP196" s="42"/>
      <c r="AQ196" s="42"/>
      <c r="AR196" s="42"/>
      <c r="AS196" s="42"/>
      <c r="AT196" s="42"/>
      <c r="AU196" s="42"/>
      <c r="BA196" s="35"/>
    </row>
    <row r="197" spans="1:53" ht="20" customHeight="1" x14ac:dyDescent="0.35">
      <c r="A197" s="34"/>
      <c r="B197" s="420" t="s">
        <v>584</v>
      </c>
      <c r="C197" s="421"/>
      <c r="D197" s="422">
        <f>SUM(SUMIF(Geschäftsreisen[Zuordnung Gliederungselement (Dropdown)],Ergebnisse!$D$131,Geschäftsreisen[Scope 3 Ergebnis Nicht-CO2 '[kg CO2e']]),SUMIF(Pendeln_Mitarbeitende[Zuordnung Gliederungselement (Dropdown)],Ergebnisse!$D$131,Pendeln_Mitarbeitende[Scope 3 Ergebnis Nicht-CO2 '[kg CO2e']]),SUMIF(Externe[Zuordnung Gliederungselement (Dropdown)],Ergebnisse!$D$131,Externe[Scope 3 Ergebnis Nicht-CO2 '[kg CO2e']]),SUMIF(Warentransporte[Zuordnung Gliederungselement (Dropdown)],Ergebnisse!$D$131,Warentransporte[Scope 3 Ergebnis Nicht-CO2 '[kg CO2e']]))/1000</f>
        <v>0</v>
      </c>
      <c r="E197" s="422">
        <f>SUMIF(Anreise_Besuchende[Zuordnung Gliederungselement (Dropdown)],Ergebnisse!$D$131,Anreise_Besuchende[Scope 3 Ergebnis Nicht-CO2 '[kg CO2e']])/1000</f>
        <v>0</v>
      </c>
      <c r="F197" s="495">
        <f>SUM(D197:E197)</f>
        <v>0</v>
      </c>
      <c r="G197" s="519" t="s">
        <v>125</v>
      </c>
      <c r="H197" s="489" t="s">
        <v>125</v>
      </c>
      <c r="I197" s="42"/>
      <c r="J197" s="42"/>
      <c r="K197" s="42"/>
      <c r="L197" s="42"/>
      <c r="M197" s="42"/>
      <c r="N197" s="42"/>
      <c r="O197" s="42"/>
      <c r="P197" s="42"/>
      <c r="Q197" s="42"/>
      <c r="R197" s="42"/>
      <c r="S197" s="42"/>
      <c r="T197" s="42"/>
      <c r="Z197" s="35"/>
      <c r="AA197" s="28"/>
      <c r="AB197" s="34"/>
      <c r="AC197" s="420" t="s">
        <v>584</v>
      </c>
      <c r="AD197" s="421"/>
      <c r="AE197" s="422">
        <f>SUM(SUMIF(Geschäftsreisen[Zuordnung Gliederungselement (Dropdown)],Ergebnisse!$AE$131,Geschäftsreisen[Scope 3 Ergebnis Nicht-CO2 '[kg CO2e']]),SUMIF(Pendeln_Mitarbeitende[Zuordnung Gliederungselement (Dropdown)],Ergebnisse!$AE$131,Pendeln_Mitarbeitende[Scope 3 Ergebnis Nicht-CO2 '[kg CO2e']]),SUMIF(Externe[Zuordnung Gliederungselement (Dropdown)],Ergebnisse!$AE$131,Externe[Scope 3 Ergebnis Nicht-CO2 '[kg CO2e']]),SUMIF(Warentransporte[Zuordnung Gliederungselement (Dropdown)],Ergebnisse!$AE$131,Warentransporte[Scope 3 Ergebnis Nicht-CO2 '[kg CO2e']]))/1000</f>
        <v>0</v>
      </c>
      <c r="AF197" s="422">
        <f>SUMIF(Anreise_Besuchende[Zuordnung Gliederungselement (Dropdown)],Ergebnisse!$AE$131,Anreise_Besuchende[Scope 3 Ergebnis Nicht-CO2 '[kg CO2e']])/1000</f>
        <v>0</v>
      </c>
      <c r="AG197" s="495">
        <f>SUM(AE197:AF197)</f>
        <v>0</v>
      </c>
      <c r="AH197" s="519" t="s">
        <v>125</v>
      </c>
      <c r="AI197" s="489" t="s">
        <v>125</v>
      </c>
      <c r="AJ197" s="42"/>
      <c r="AK197" s="42"/>
      <c r="AL197" s="42"/>
      <c r="AM197" s="42"/>
      <c r="AN197" s="42"/>
      <c r="AO197" s="42"/>
      <c r="AP197" s="42"/>
      <c r="AQ197" s="42"/>
      <c r="AR197" s="42"/>
      <c r="AS197" s="42"/>
      <c r="AT197" s="42"/>
      <c r="AU197" s="42"/>
      <c r="BA197" s="35"/>
    </row>
    <row r="198" spans="1:53" ht="7" customHeight="1" x14ac:dyDescent="0.35">
      <c r="A198" s="34"/>
      <c r="B198" s="247"/>
      <c r="C198" s="248"/>
      <c r="D198" s="249"/>
      <c r="E198" s="249"/>
      <c r="F198" s="494"/>
      <c r="G198" s="520"/>
      <c r="H198" s="488"/>
      <c r="I198" s="42"/>
      <c r="J198" s="42"/>
      <c r="K198" s="42"/>
      <c r="L198" s="42"/>
      <c r="M198" s="42"/>
      <c r="N198" s="42"/>
      <c r="O198" s="42"/>
      <c r="P198" s="42"/>
      <c r="Q198" s="42"/>
      <c r="R198" s="42"/>
      <c r="S198" s="42"/>
      <c r="T198" s="42"/>
      <c r="Z198" s="35"/>
      <c r="AA198" s="28"/>
      <c r="AB198" s="34"/>
      <c r="AC198" s="247"/>
      <c r="AD198" s="248"/>
      <c r="AE198" s="249"/>
      <c r="AF198" s="249"/>
      <c r="AG198" s="494"/>
      <c r="AH198" s="520"/>
      <c r="AI198" s="488"/>
      <c r="AJ198" s="42"/>
      <c r="AK198" s="42"/>
      <c r="AL198" s="42"/>
      <c r="AM198" s="42"/>
      <c r="AN198" s="42"/>
      <c r="AO198" s="42"/>
      <c r="AP198" s="42"/>
      <c r="AQ198" s="42"/>
      <c r="AR198" s="42"/>
      <c r="AS198" s="42"/>
      <c r="AT198" s="42"/>
      <c r="AU198" s="42"/>
      <c r="BA198" s="35"/>
    </row>
    <row r="199" spans="1:53" ht="20" customHeight="1" x14ac:dyDescent="0.35">
      <c r="A199" s="34"/>
      <c r="B199" s="420" t="s">
        <v>581</v>
      </c>
      <c r="C199" s="421"/>
      <c r="D199" s="422">
        <f>SUM(SUMIF(Wärme[Zuordnung Gliederungselement (Dropdown)],Ergebnisse!$D$131,Wärme[Scope 1 CO2 biogen '[kg CO2']]),SUMIF(Strom[Zuordnung Gliederungselement (Dropdown)],Ergebnisse!$D$131,Strom[Scope 1 CO2 biogen '[kg CO2']]),SUMIF(Kühl_und_Kältemittel[Zuordnung Gliederungselement (Dropdown)],Ergebnisse!$D$131,Kühl_und_Kältemittel[Scope 1 CO2 biogen '[kg CO2']]),SUMIF(Fuhrpark[Zuordnung Gliederungselement (Dropdown)],Ergebnisse!$D$131,Fuhrpark[Scope 1 CO2 biogen '[kg CO2']]))/1000</f>
        <v>0</v>
      </c>
      <c r="E199" s="422">
        <f>0</f>
        <v>0</v>
      </c>
      <c r="F199" s="495">
        <f>SUM(D199:E199)</f>
        <v>0</v>
      </c>
      <c r="G199" s="519" t="s">
        <v>125</v>
      </c>
      <c r="H199" s="489" t="s">
        <v>125</v>
      </c>
      <c r="I199" s="42"/>
      <c r="J199" s="42"/>
      <c r="K199" s="42"/>
      <c r="L199" s="42"/>
      <c r="M199" s="42"/>
      <c r="N199" s="42"/>
      <c r="O199" s="42"/>
      <c r="P199" s="42"/>
      <c r="Q199" s="42"/>
      <c r="R199" s="42"/>
      <c r="S199" s="42"/>
      <c r="T199" s="42"/>
      <c r="Z199" s="35"/>
      <c r="AA199" s="28"/>
      <c r="AB199" s="34"/>
      <c r="AC199" s="420" t="s">
        <v>581</v>
      </c>
      <c r="AD199" s="421"/>
      <c r="AE199" s="422">
        <f>SUM(SUMIF(Wärme[Zuordnung Gliederungselement (Dropdown)],Ergebnisse!$AE$131,Wärme[Scope 1 CO2 biogen '[kg CO2']]),SUMIF(Strom[Zuordnung Gliederungselement (Dropdown)],Ergebnisse!$AE$131,Strom[Scope 1 CO2 biogen '[kg CO2']]),SUMIF(Kühl_und_Kältemittel[Zuordnung Gliederungselement (Dropdown)],Ergebnisse!$AE$131,Kühl_und_Kältemittel[Scope 1 CO2 biogen '[kg CO2']]),SUMIF(Fuhrpark[Zuordnung Gliederungselement (Dropdown)],Ergebnisse!$AE$131,Fuhrpark[Scope 1 CO2 biogen '[kg CO2']]))/1000</f>
        <v>0</v>
      </c>
      <c r="AF199" s="422">
        <f>0</f>
        <v>0</v>
      </c>
      <c r="AG199" s="495">
        <f>SUM(AE199:AF199)</f>
        <v>0</v>
      </c>
      <c r="AH199" s="519" t="s">
        <v>125</v>
      </c>
      <c r="AI199" s="489" t="s">
        <v>125</v>
      </c>
      <c r="AJ199" s="42"/>
      <c r="AK199" s="42"/>
      <c r="AL199" s="42"/>
      <c r="AM199" s="42"/>
      <c r="AN199" s="42"/>
      <c r="AO199" s="42"/>
      <c r="AP199" s="42"/>
      <c r="AQ199" s="42"/>
      <c r="AR199" s="42"/>
      <c r="AS199" s="42"/>
      <c r="AT199" s="42"/>
      <c r="AU199" s="42"/>
      <c r="BA199" s="35"/>
    </row>
    <row r="200" spans="1:53" ht="24.5" customHeight="1" x14ac:dyDescent="0.35">
      <c r="A200" s="34"/>
      <c r="H200" s="42"/>
      <c r="I200" s="42"/>
      <c r="J200" s="42"/>
      <c r="K200" s="42"/>
      <c r="L200" s="42"/>
      <c r="M200" s="42"/>
      <c r="N200" s="42"/>
      <c r="O200" s="42"/>
      <c r="P200" s="42"/>
      <c r="Q200" s="42"/>
      <c r="R200" s="42"/>
      <c r="S200" s="42"/>
      <c r="T200" s="42"/>
      <c r="Z200" s="35"/>
      <c r="AA200" s="28"/>
      <c r="AB200" s="34"/>
      <c r="AC200" s="15"/>
      <c r="AD200" s="10"/>
      <c r="AG200" s="510"/>
      <c r="AI200" s="42"/>
      <c r="AJ200" s="42"/>
      <c r="AK200" s="42"/>
      <c r="AL200" s="42"/>
      <c r="AM200" s="42"/>
      <c r="AN200" s="42"/>
      <c r="AO200" s="42"/>
      <c r="AP200" s="42"/>
      <c r="AQ200" s="42"/>
      <c r="AR200" s="42"/>
      <c r="AS200" s="42"/>
      <c r="AT200" s="42"/>
      <c r="AU200" s="42"/>
      <c r="BA200" s="35"/>
    </row>
    <row r="201" spans="1:53" ht="24" customHeight="1" x14ac:dyDescent="0.35">
      <c r="A201" s="34"/>
      <c r="B201" s="257" t="s">
        <v>605</v>
      </c>
      <c r="H201" s="42"/>
      <c r="I201" s="42"/>
      <c r="J201" s="42"/>
      <c r="K201" s="42"/>
      <c r="L201" s="42"/>
      <c r="M201" s="42"/>
      <c r="N201" s="42"/>
      <c r="O201" s="42"/>
      <c r="P201" s="42"/>
      <c r="Q201" s="42"/>
      <c r="R201" s="42"/>
      <c r="S201" s="42"/>
      <c r="T201" s="42"/>
      <c r="Z201" s="35"/>
      <c r="AA201" s="28"/>
      <c r="AB201" s="34"/>
      <c r="AC201" s="257" t="s">
        <v>605</v>
      </c>
      <c r="AD201" s="10"/>
      <c r="AI201" s="42"/>
      <c r="AJ201" s="42"/>
      <c r="AK201" s="42"/>
      <c r="AL201" s="42"/>
      <c r="AM201" s="42"/>
      <c r="AN201" s="42"/>
      <c r="AO201" s="42"/>
      <c r="AP201" s="42"/>
      <c r="AQ201" s="42"/>
      <c r="AR201" s="42"/>
      <c r="AS201" s="42"/>
      <c r="AT201" s="42"/>
      <c r="AU201" s="42"/>
      <c r="BA201" s="35"/>
    </row>
    <row r="202" spans="1:53" ht="15" customHeight="1" x14ac:dyDescent="0.35">
      <c r="A202" s="34"/>
      <c r="B202" s="661" t="s">
        <v>256</v>
      </c>
      <c r="C202" s="662"/>
      <c r="D202" s="645">
        <f>SUMIF(Strom[Zuordnung Gliederungselement (Dropdown)],$D$131,Strom[Vermiedene Emissionen '[kg CO2e']])/1000</f>
        <v>0</v>
      </c>
      <c r="E202" s="646" t="s">
        <v>257</v>
      </c>
      <c r="H202" s="42"/>
      <c r="I202" s="42"/>
      <c r="J202" s="42"/>
      <c r="K202" s="42"/>
      <c r="L202" s="42"/>
      <c r="M202" s="42"/>
      <c r="N202" s="42"/>
      <c r="O202" s="42"/>
      <c r="P202" s="42"/>
      <c r="Q202" s="42"/>
      <c r="R202" s="42"/>
      <c r="S202" s="42"/>
      <c r="T202" s="42"/>
      <c r="Z202" s="35"/>
      <c r="AA202" s="28"/>
      <c r="AB202" s="34"/>
      <c r="AC202" s="661" t="s">
        <v>256</v>
      </c>
      <c r="AD202" s="662"/>
      <c r="AE202" s="645">
        <f>SUMIF(Strom[Zuordnung Gliederungselement (Dropdown)],$AE$131,Strom[Vermiedene Emissionen '[kg CO2e']])/1000</f>
        <v>0</v>
      </c>
      <c r="AF202" s="646" t="s">
        <v>257</v>
      </c>
      <c r="AI202" s="42"/>
      <c r="AJ202" s="42"/>
      <c r="AK202" s="42"/>
      <c r="AL202" s="42"/>
      <c r="AM202" s="42"/>
      <c r="AN202" s="42"/>
      <c r="AO202" s="42"/>
      <c r="AP202" s="42"/>
      <c r="AQ202" s="42"/>
      <c r="AR202" s="42"/>
      <c r="AS202" s="42"/>
      <c r="AT202" s="42"/>
      <c r="AU202" s="42"/>
      <c r="BA202" s="35"/>
    </row>
    <row r="203" spans="1:53" ht="15.75" customHeight="1" x14ac:dyDescent="0.35">
      <c r="A203" s="34"/>
      <c r="B203" s="663"/>
      <c r="C203" s="664"/>
      <c r="D203" s="645"/>
      <c r="E203" s="646"/>
      <c r="H203" s="42"/>
      <c r="I203" s="42"/>
      <c r="J203" s="42"/>
      <c r="K203" s="42"/>
      <c r="L203" s="42"/>
      <c r="M203" s="42"/>
      <c r="N203" s="42"/>
      <c r="O203" s="42"/>
      <c r="P203" s="42"/>
      <c r="Q203" s="42"/>
      <c r="R203" s="42"/>
      <c r="S203" s="42"/>
      <c r="T203" s="42"/>
      <c r="Z203" s="35"/>
      <c r="AA203" s="28"/>
      <c r="AB203" s="34"/>
      <c r="AC203" s="663"/>
      <c r="AD203" s="664"/>
      <c r="AE203" s="645"/>
      <c r="AF203" s="646"/>
      <c r="AI203" s="42"/>
      <c r="AJ203" s="42"/>
      <c r="AK203" s="42"/>
      <c r="AL203" s="42"/>
      <c r="AM203" s="42"/>
      <c r="AN203" s="42"/>
      <c r="AO203" s="42"/>
      <c r="AP203" s="42"/>
      <c r="AQ203" s="42"/>
      <c r="AR203" s="42"/>
      <c r="AS203" s="42"/>
      <c r="AT203" s="42"/>
      <c r="AU203" s="42"/>
      <c r="BA203" s="35"/>
    </row>
    <row r="204" spans="1:53" ht="27.5" customHeight="1" x14ac:dyDescent="0.35">
      <c r="A204" s="34"/>
      <c r="H204" s="42"/>
      <c r="I204" s="42"/>
      <c r="J204" s="42"/>
      <c r="K204" s="42"/>
      <c r="L204" s="42"/>
      <c r="M204" s="42"/>
      <c r="N204" s="42"/>
      <c r="O204" s="42"/>
      <c r="P204" s="42"/>
      <c r="Q204" s="42"/>
      <c r="R204" s="42"/>
      <c r="S204" s="42"/>
      <c r="T204" s="42"/>
      <c r="Z204" s="35"/>
      <c r="AA204" s="28"/>
      <c r="AB204" s="34"/>
      <c r="AC204" s="15"/>
      <c r="AD204" s="10"/>
      <c r="AI204" s="42"/>
      <c r="AJ204" s="42"/>
      <c r="AK204" s="42"/>
      <c r="AL204" s="42"/>
      <c r="AM204" s="42"/>
      <c r="AN204" s="42"/>
      <c r="AO204" s="42"/>
      <c r="AP204" s="42"/>
      <c r="AQ204" s="42"/>
      <c r="AR204" s="42"/>
      <c r="AS204" s="42"/>
      <c r="AT204" s="42"/>
      <c r="AU204" s="42"/>
      <c r="BA204" s="35"/>
    </row>
    <row r="205" spans="1:53" ht="6" customHeight="1" thickBot="1" x14ac:dyDescent="0.4">
      <c r="A205" s="43"/>
      <c r="B205" s="222"/>
      <c r="C205" s="45"/>
      <c r="D205" s="46"/>
      <c r="E205" s="46"/>
      <c r="F205" s="46"/>
      <c r="G205" s="46"/>
      <c r="H205" s="47"/>
      <c r="I205" s="47"/>
      <c r="J205" s="47"/>
      <c r="K205" s="47"/>
      <c r="L205" s="47"/>
      <c r="M205" s="47"/>
      <c r="N205" s="47"/>
      <c r="O205" s="47"/>
      <c r="P205" s="47"/>
      <c r="Q205" s="47"/>
      <c r="R205" s="47"/>
      <c r="S205" s="47"/>
      <c r="T205" s="47"/>
      <c r="U205" s="47"/>
      <c r="V205" s="47"/>
      <c r="W205" s="46"/>
      <c r="X205" s="46"/>
      <c r="Y205" s="46"/>
      <c r="Z205" s="48"/>
      <c r="AA205" s="425"/>
      <c r="AB205" s="43"/>
      <c r="AC205" s="222"/>
      <c r="AD205" s="45"/>
      <c r="AE205" s="46"/>
      <c r="AF205" s="46"/>
      <c r="AG205" s="46"/>
      <c r="AH205" s="46"/>
      <c r="AI205" s="47"/>
      <c r="AJ205" s="47"/>
      <c r="AK205" s="47"/>
      <c r="AL205" s="47"/>
      <c r="AM205" s="47"/>
      <c r="AN205" s="47"/>
      <c r="AO205" s="47"/>
      <c r="AP205" s="47"/>
      <c r="AQ205" s="47"/>
      <c r="AR205" s="47"/>
      <c r="AS205" s="47"/>
      <c r="AT205" s="47"/>
      <c r="AU205" s="47"/>
      <c r="AV205" s="47"/>
      <c r="AW205" s="47"/>
      <c r="AX205" s="46"/>
      <c r="AY205" s="46"/>
      <c r="AZ205" s="46"/>
      <c r="BA205" s="48"/>
    </row>
    <row r="206" spans="1:53" ht="24" customHeight="1" x14ac:dyDescent="0.35">
      <c r="A206" s="34"/>
      <c r="B206" s="211" t="s">
        <v>448</v>
      </c>
      <c r="Z206" s="35"/>
      <c r="AA206" s="28"/>
      <c r="AB206" s="34"/>
      <c r="AC206" s="211" t="s">
        <v>448</v>
      </c>
      <c r="AD206" s="10"/>
      <c r="AI206" s="8"/>
      <c r="AJ206" s="8"/>
      <c r="AK206" s="8"/>
      <c r="AL206" s="8"/>
      <c r="AM206" s="8"/>
      <c r="AN206" s="8"/>
      <c r="AO206" s="8"/>
      <c r="AP206" s="8"/>
      <c r="BA206" s="35"/>
    </row>
    <row r="207" spans="1:53" x14ac:dyDescent="0.35">
      <c r="A207" s="34"/>
      <c r="B207" s="356" t="s">
        <v>595</v>
      </c>
      <c r="Z207" s="35"/>
      <c r="AA207" s="28"/>
      <c r="AB207" s="34"/>
      <c r="AC207" s="356" t="s">
        <v>596</v>
      </c>
      <c r="AD207" s="10"/>
      <c r="AI207" s="8"/>
      <c r="AJ207" s="8"/>
      <c r="AK207" s="8"/>
      <c r="AL207" s="8"/>
      <c r="AM207" s="8"/>
      <c r="AN207" s="8"/>
      <c r="AO207" s="8"/>
      <c r="AP207" s="8"/>
      <c r="BA207" s="35"/>
    </row>
    <row r="208" spans="1:53" s="9" customFormat="1" ht="20" customHeight="1" x14ac:dyDescent="0.35">
      <c r="A208" s="37"/>
      <c r="C208" s="419"/>
      <c r="D208" s="654" t="s">
        <v>241</v>
      </c>
      <c r="E208" s="655"/>
      <c r="F208" s="656" t="s">
        <v>242</v>
      </c>
      <c r="G208" s="655"/>
      <c r="H208" s="39"/>
      <c r="I208" s="39"/>
      <c r="J208" s="39"/>
      <c r="K208" s="39"/>
      <c r="L208" s="39"/>
      <c r="M208" s="39"/>
      <c r="N208" s="39"/>
      <c r="O208" s="39"/>
      <c r="Z208" s="40"/>
      <c r="AA208" s="426"/>
      <c r="AB208" s="37"/>
      <c r="AD208" s="419"/>
      <c r="AE208" s="654" t="s">
        <v>241</v>
      </c>
      <c r="AF208" s="655"/>
      <c r="AG208" s="656" t="s">
        <v>242</v>
      </c>
      <c r="AH208" s="655"/>
      <c r="AI208" s="39"/>
      <c r="AJ208" s="39"/>
      <c r="AK208" s="39"/>
      <c r="AL208" s="39"/>
      <c r="AM208" s="39"/>
      <c r="AN208" s="39"/>
      <c r="AO208" s="39"/>
      <c r="AP208" s="39"/>
      <c r="BA208" s="40"/>
    </row>
    <row r="209" spans="1:53" s="1" customFormat="1" ht="31" x14ac:dyDescent="0.35">
      <c r="A209" s="413"/>
      <c r="B209" s="10"/>
      <c r="C209" s="416" t="s">
        <v>449</v>
      </c>
      <c r="D209" s="328" t="s">
        <v>451</v>
      </c>
      <c r="E209" s="328" t="s">
        <v>589</v>
      </c>
      <c r="F209" s="328" t="s">
        <v>452</v>
      </c>
      <c r="G209" s="328" t="s">
        <v>589</v>
      </c>
      <c r="H209" s="8"/>
      <c r="I209" s="414"/>
      <c r="J209" s="414"/>
      <c r="K209" s="8"/>
      <c r="L209" s="414"/>
      <c r="M209" s="414"/>
      <c r="N209" s="414"/>
      <c r="O209" s="414"/>
      <c r="Z209" s="415"/>
      <c r="AA209" s="427"/>
      <c r="AB209" s="413"/>
      <c r="AC209" s="10"/>
      <c r="AD209" s="416" t="s">
        <v>449</v>
      </c>
      <c r="AE209" s="328" t="s">
        <v>451</v>
      </c>
      <c r="AF209" s="328" t="s">
        <v>589</v>
      </c>
      <c r="AG209" s="328" t="s">
        <v>452</v>
      </c>
      <c r="AH209" s="328" t="s">
        <v>589</v>
      </c>
      <c r="AI209" s="414"/>
      <c r="AJ209" s="414"/>
      <c r="AK209" s="414"/>
      <c r="AL209" s="414"/>
      <c r="AM209" s="414"/>
      <c r="AN209" s="414"/>
      <c r="AO209" s="414"/>
      <c r="AP209" s="414"/>
      <c r="BA209" s="415"/>
    </row>
    <row r="210" spans="1:53" ht="17" customHeight="1" x14ac:dyDescent="0.35">
      <c r="A210" s="34"/>
      <c r="C210" s="417" t="s">
        <v>590</v>
      </c>
      <c r="D210" s="344">
        <f>SUM(SUMIF(Wärme[Zuordnung Gliederungselement (Dropdown)],Ergebnisse!$D$131,Wärme[Scope 1 CO2 '[kg CO2']]),SUMIF(Strom[Zuordnung Gliederungselement (Dropdown)],Ergebnisse!$D$131,Strom[Scope 1 CO2 '[kg CO2']]),SUMIF(Kühl_und_Kältemittel[Zuordnung Gliederungselement (Dropdown)],Ergebnisse!$D$131,Kühl_und_Kältemittel[Scope 1 CO2 '[kg CO2']]),SUMIF(Fuhrpark[Zuordnung Gliederungselement (Dropdown)],Ergebnisse!$D$131,Fuhrpark[Scope 1 CO2 '[kg CO2']]))/1000</f>
        <v>0</v>
      </c>
      <c r="E210" s="344">
        <f>SUM(SUMIF(Wärme[Zuordnung Gliederungselement (Dropdown)],Ergebnisse!$D$131,Wärme[Scope 1 CO2 '[kg CO2e']]),SUMIF(Strom[Zuordnung Gliederungselement (Dropdown)],Ergebnisse!$D$131,Strom[Scope 1 CO2 '[kg CO2e']]),SUMIF(Kühl_und_Kältemittel[Zuordnung Gliederungselement (Dropdown)],Ergebnisse!$D$131,Kühl_und_Kältemittel[Scope 1 CO2 '[kg CO2e']]),SUMIF(Fuhrpark[Zuordnung Gliederungselement (Dropdown)],Ergebnisse!$D$131,Fuhrpark[Scope 1 CO2 '[kg CO2e']]))/1000</f>
        <v>0</v>
      </c>
      <c r="F210" s="344">
        <f>SUM(SUMIF(Wärme[Zuordnung Gliederungselement (Dropdown)],Ergebnisse!$D$131,Wärme[Scope 2 CO2 '[kg CO2']]),SUMIF(Strom[Zuordnung Gliederungselement (Dropdown)],Ergebnisse!$D$131,Strom[Scope 2 CO2 '[kg CO2']]),SUMIF(Kühl_und_Kältemittel[Zuordnung Gliederungselement (Dropdown)],Ergebnisse!$D$131,Kühl_und_Kältemittel[Scope 2 CO2 '[kg CO2']]),SUMIF(Fuhrpark[Zuordnung Gliederungselement (Dropdown)],Ergebnisse!$D$131,Fuhrpark[Scope 2 CO2 '[kg CO2']]))/1000</f>
        <v>0</v>
      </c>
      <c r="G210" s="344">
        <f>SUM(SUMIF(Wärme[Zuordnung Gliederungselement (Dropdown)],Ergebnisse!$D$131,Wärme[Scope 2 CO2 '[kg CO2e']]),SUMIF(Strom[Zuordnung Gliederungselement (Dropdown)],Ergebnisse!$D$131,Strom[Scope 2 CO2 '[kg CO2e']]),SUMIF(Kühl_und_Kältemittel[Zuordnung Gliederungselement (Dropdown)],Ergebnisse!$D$131,Kühl_und_Kältemittel[Scope 2 CO2 '[kg CO2e']]),SUMIF(Fuhrpark[Zuordnung Gliederungselement (Dropdown)],Ergebnisse!$D$131,Fuhrpark[Scope 2 CO2 '[kg CO2e']]))/1000</f>
        <v>0</v>
      </c>
      <c r="Z210" s="35"/>
      <c r="AA210" s="28"/>
      <c r="AB210" s="34"/>
      <c r="AC210" s="15"/>
      <c r="AD210" s="417" t="s">
        <v>590</v>
      </c>
      <c r="AE210" s="344">
        <f>SUM(SUMIF(Wärme[Zuordnung Gliederungselement (Dropdown)],Ergebnisse!$AE$131,Wärme[Scope 1 CO2 '[kg CO2']]),SUMIF(Strom[Zuordnung Gliederungselement (Dropdown)],Ergebnisse!$AE$131,Strom[Scope 1 CO2 '[kg CO2']]),SUMIF(Kühl_und_Kältemittel[Zuordnung Gliederungselement (Dropdown)],Ergebnisse!$AE$131,Kühl_und_Kältemittel[Scope 1 CO2 '[kg CO2']]),SUMIF(Fuhrpark[Zuordnung Gliederungselement (Dropdown)],Ergebnisse!$AE$131,Fuhrpark[Scope 1 CO2 '[kg CO2']]))/1000</f>
        <v>0</v>
      </c>
      <c r="AF210" s="344">
        <f>SUM(SUMIF(Wärme[Zuordnung Gliederungselement (Dropdown)],Ergebnisse!$AE$131,Wärme[Scope 1 CO2 '[kg CO2e']]),SUMIF(Strom[Zuordnung Gliederungselement (Dropdown)],Ergebnisse!$AE$131,Strom[Scope 1 CO2 '[kg CO2e']]),SUMIF(Kühl_und_Kältemittel[Zuordnung Gliederungselement (Dropdown)],Ergebnisse!$AE$131,Kühl_und_Kältemittel[Scope 1 CO2 '[kg CO2e']]),SUMIF(Fuhrpark[Zuordnung Gliederungselement (Dropdown)],Ergebnisse!$AE$131,Fuhrpark[Scope 1 CO2 '[kg CO2e']]))/1000</f>
        <v>0</v>
      </c>
      <c r="AG210" s="344">
        <f>SUM(SUMIF(Wärme[Zuordnung Gliederungselement (Dropdown)],Ergebnisse!$AE$131,Wärme[Scope 2 CO2 '[kg CO2']]),SUMIF(Strom[Zuordnung Gliederungselement (Dropdown)],Ergebnisse!$AE$131,Strom[Scope 2 CO2 '[kg CO2']]),SUMIF(Kühl_und_Kältemittel[Zuordnung Gliederungselement (Dropdown)],Ergebnisse!$AE$131,Kühl_und_Kältemittel[Scope 2 CO2 '[kg CO2']]),SUMIF(Fuhrpark[Zuordnung Gliederungselement (Dropdown)],Ergebnisse!$AE$131,Fuhrpark[Scope 2 CO2 '[kg CO2']]))/1000</f>
        <v>0</v>
      </c>
      <c r="AH210" s="344">
        <f>SUM(SUMIF(Wärme[Zuordnung Gliederungselement (Dropdown)],Ergebnisse!$AE$131,Wärme[Scope 2 CO2 '[kg CO2e']]),SUMIF(Strom[Zuordnung Gliederungselement (Dropdown)],Ergebnisse!$AE$131,Strom[Scope 2 CO2 '[kg CO2e']]),SUMIF(Kühl_und_Kältemittel[Zuordnung Gliederungselement (Dropdown)],Ergebnisse!$AE$131,Kühl_und_Kältemittel[Scope 2 CO2 '[kg CO2e']]),SUMIF(Fuhrpark[Zuordnung Gliederungselement (Dropdown)],Ergebnisse!$AE$131,Fuhrpark[Scope 2 CO2 '[kg CO2e']]))/1000</f>
        <v>0</v>
      </c>
      <c r="AI210" s="8"/>
      <c r="AJ210" s="8"/>
      <c r="AK210" s="8"/>
      <c r="AL210" s="8"/>
      <c r="AM210" s="8"/>
      <c r="AN210" s="8"/>
      <c r="AO210" s="8"/>
      <c r="AP210" s="8"/>
      <c r="BA210" s="35"/>
    </row>
    <row r="211" spans="1:53" ht="17" customHeight="1" x14ac:dyDescent="0.35">
      <c r="A211" s="34"/>
      <c r="C211" s="417" t="s">
        <v>591</v>
      </c>
      <c r="D211" s="344">
        <f>SUM(SUMIF(Wärme[Zuordnung Gliederungselement (Dropdown)],Ergebnisse!$D$131,Wärme[Scope 1 CH4 '[kg CH4']]),SUMIF(Strom[Zuordnung Gliederungselement (Dropdown)],Ergebnisse!$D$131,Strom[Scope 1 CH4 '[kg CH4']]),SUMIF(Kühl_und_Kältemittel[Zuordnung Gliederungselement (Dropdown)],Ergebnisse!$D$131,Kühl_und_Kältemittel[Scope 1 CH4 '[kg CH4']]),SUMIF(Fuhrpark[Zuordnung Gliederungselement (Dropdown)],Ergebnisse!$D$131,Fuhrpark[Scope 1 CH4 '[kg CH4']]))/1000</f>
        <v>0</v>
      </c>
      <c r="E211" s="344">
        <f>SUM(SUMIF(Wärme[Zuordnung Gliederungselement (Dropdown)],Ergebnisse!$D$131,Wärme[Scope 1 CH4 '[kg CO2e']]),SUMIF(Strom[Zuordnung Gliederungselement (Dropdown)],Ergebnisse!$D$131,Strom[Scope 1 CH4 '[kg CO2e']]),SUMIF(Kühl_und_Kältemittel[Zuordnung Gliederungselement (Dropdown)],Ergebnisse!$D$131,Kühl_und_Kältemittel[Scope 1 CH4 '[kg CO2e']]),SUMIF(Fuhrpark[Zuordnung Gliederungselement (Dropdown)],Ergebnisse!$D$131,Fuhrpark[Scope 1 CH4 '[kg CO2e']]))/1000</f>
        <v>0</v>
      </c>
      <c r="F211" s="344">
        <f>SUM(SUMIF(Wärme[Zuordnung Gliederungselement (Dropdown)],Ergebnisse!$D$131,Wärme[Scope 2 CH4 '[kg CH4']]),SUMIF(Strom[Zuordnung Gliederungselement (Dropdown)],Ergebnisse!$D$131,Strom[Scope 2 CH4 '[kg CH4']]),SUMIF(Kühl_und_Kältemittel[Zuordnung Gliederungselement (Dropdown)],Ergebnisse!$D$131,Kühl_und_Kältemittel[Scope 2 CH4 '[kg CH4']]),SUMIF(Fuhrpark[Zuordnung Gliederungselement (Dropdown)],Ergebnisse!$D$131,Fuhrpark[Scope 2 CH4 '[kg CH4']]))/1000</f>
        <v>0</v>
      </c>
      <c r="G211" s="344">
        <f>SUM(SUMIF(Wärme[Zuordnung Gliederungselement (Dropdown)],Ergebnisse!$D$131,Wärme[Scope 2 CH4 '[kg CO2e']]),SUMIF(Strom[Zuordnung Gliederungselement (Dropdown)],Ergebnisse!$D$131,Strom[Scope 2 CH4 '[kg CO2e']]),SUMIF(Kühl_und_Kältemittel[Zuordnung Gliederungselement (Dropdown)],Ergebnisse!$D$131,Kühl_und_Kältemittel[Scope 2 CH4 '[kg CO2e']]),SUMIF(Fuhrpark[Zuordnung Gliederungselement (Dropdown)],Ergebnisse!$D$131,Fuhrpark[Scope 2 CH4 '[kg CO2e']]))/1000</f>
        <v>0</v>
      </c>
      <c r="Z211" s="35"/>
      <c r="AA211" s="28"/>
      <c r="AB211" s="34"/>
      <c r="AC211" s="15"/>
      <c r="AD211" s="417" t="s">
        <v>591</v>
      </c>
      <c r="AE211" s="344">
        <f>SUM(SUMIF(Wärme[Zuordnung Gliederungselement (Dropdown)],Ergebnisse!$AE$131,Wärme[Scope 1 CH4 '[kg CH4']]),SUMIF(Strom[Zuordnung Gliederungselement (Dropdown)],Ergebnisse!$AE$131,Strom[Scope 1 CH4 '[kg CH4']]),SUMIF(Kühl_und_Kältemittel[Zuordnung Gliederungselement (Dropdown)],Ergebnisse!$AE$131,Kühl_und_Kältemittel[Scope 1 CH4 '[kg CH4']]),SUMIF(Fuhrpark[Zuordnung Gliederungselement (Dropdown)],Ergebnisse!$AE$131,Fuhrpark[Scope 1 CH4 '[kg CH4']]))/1000</f>
        <v>0</v>
      </c>
      <c r="AF211" s="344">
        <f>SUM(SUMIF(Wärme[Zuordnung Gliederungselement (Dropdown)],Ergebnisse!$AE$131,Wärme[Scope 1 CH4 '[kg CO2e']]),SUMIF(Strom[Zuordnung Gliederungselement (Dropdown)],Ergebnisse!$AE$131,Strom[Scope 1 CH4 '[kg CO2e']]),SUMIF(Kühl_und_Kältemittel[Zuordnung Gliederungselement (Dropdown)],Ergebnisse!$AE$131,Kühl_und_Kältemittel[Scope 1 CH4 '[kg CO2e']]),SUMIF(Fuhrpark[Zuordnung Gliederungselement (Dropdown)],Ergebnisse!$AE$131,Fuhrpark[Scope 1 CH4 '[kg CO2e']]))/1000</f>
        <v>0</v>
      </c>
      <c r="AG211" s="344">
        <f>SUM(SUMIF(Wärme[Zuordnung Gliederungselement (Dropdown)],Ergebnisse!$AE$131,Wärme[Scope 2 CH4 '[kg CH4']]),SUMIF(Strom[Zuordnung Gliederungselement (Dropdown)],Ergebnisse!$AE$131,Strom[Scope 2 CH4 '[kg CH4']]),SUMIF(Kühl_und_Kältemittel[Zuordnung Gliederungselement (Dropdown)],Ergebnisse!$AE$131,Kühl_und_Kältemittel[Scope 2 CH4 '[kg CH4']]),SUMIF(Fuhrpark[Zuordnung Gliederungselement (Dropdown)],Ergebnisse!$AE$131,Fuhrpark[Scope 2 CH4 '[kg CH4']]))/1000</f>
        <v>0</v>
      </c>
      <c r="AH211" s="344">
        <f>SUM(SUMIF(Wärme[Zuordnung Gliederungselement (Dropdown)],Ergebnisse!$AE$131,Wärme[Scope 2 CH4 '[kg CO2e']]),SUMIF(Strom[Zuordnung Gliederungselement (Dropdown)],Ergebnisse!$AE$131,Strom[Scope 2 CH4 '[kg CO2e']]),SUMIF(Kühl_und_Kältemittel[Zuordnung Gliederungselement (Dropdown)],Ergebnisse!$AE$131,Kühl_und_Kältemittel[Scope 2 CH4 '[kg CO2e']]),SUMIF(Fuhrpark[Zuordnung Gliederungselement (Dropdown)],Ergebnisse!$AE$131,Fuhrpark[Scope 2 CH4 '[kg CO2e']]))/1000</f>
        <v>0</v>
      </c>
      <c r="AI211" s="8"/>
      <c r="AJ211" s="8"/>
      <c r="AK211" s="8"/>
      <c r="AL211" s="8"/>
      <c r="AM211" s="8"/>
      <c r="AN211" s="8"/>
      <c r="AO211" s="8"/>
      <c r="AP211" s="8"/>
      <c r="BA211" s="35"/>
    </row>
    <row r="212" spans="1:53" ht="17" customHeight="1" x14ac:dyDescent="0.35">
      <c r="A212" s="34"/>
      <c r="C212" s="417" t="s">
        <v>592</v>
      </c>
      <c r="D212" s="344">
        <f>SUM(SUMIF(Wärme[Zuordnung Gliederungselement (Dropdown)],Ergebnisse!$D$131,Wärme[Scope 1 N2O '[kg N2O']]),SUMIF(Strom[Zuordnung Gliederungselement (Dropdown)],Ergebnisse!$D$131,Strom[Scope 1 N2O '[kg N2O']]),SUMIF(Kühl_und_Kältemittel[Zuordnung Gliederungselement (Dropdown)],Ergebnisse!$D$131,Kühl_und_Kältemittel[Scope 1 N2O '[kg N2O']]),SUMIF(Fuhrpark[Zuordnung Gliederungselement (Dropdown)],Ergebnisse!$D$131,Fuhrpark[Scope 1 N2O '[kg N2O']]))/1000</f>
        <v>0</v>
      </c>
      <c r="E212" s="344">
        <f>SUM(SUMIF(Wärme[Zuordnung Gliederungselement (Dropdown)],Ergebnisse!$D$131,Wärme[Scope 1 N2O '[kg CO2e']]),SUMIF(Strom[Zuordnung Gliederungselement (Dropdown)],Ergebnisse!$D$131,Strom[Scope 1 N2O '[kg CO2e']]),SUMIF(Kühl_und_Kältemittel[Zuordnung Gliederungselement (Dropdown)],Ergebnisse!$D$131,Kühl_und_Kältemittel[Scope 1 N2O '[kg CO2e']]),SUMIF(Fuhrpark[Zuordnung Gliederungselement (Dropdown)],Ergebnisse!$D$131,Fuhrpark[Scope 1 N2O '[kg CO2e']]))/1000</f>
        <v>0</v>
      </c>
      <c r="F212" s="344">
        <f>SUM(SUMIF(Wärme[Zuordnung Gliederungselement (Dropdown)],Ergebnisse!$D$131,Wärme[Scope 2 N2O '[kg N2O']]),SUMIF(Strom[Zuordnung Gliederungselement (Dropdown)],Ergebnisse!$D$131,Strom[Scope 2 N2O '[kg N2O']]),SUMIF(Kühl_und_Kältemittel[Zuordnung Gliederungselement (Dropdown)],Ergebnisse!$D$131,Kühl_und_Kältemittel[Scope 2 N2O '[kg N2O']]),SUMIF(Fuhrpark[Zuordnung Gliederungselement (Dropdown)],Ergebnisse!$D$131,Fuhrpark[Scope 2 N2O '[kg N2O']]))/1000</f>
        <v>0</v>
      </c>
      <c r="G212" s="344">
        <f>SUM(SUMIF(Wärme[Zuordnung Gliederungselement (Dropdown)],Ergebnisse!$D$131,Wärme[Scope 2 N2O '[kg CO2e']]),SUMIF(Strom[Zuordnung Gliederungselement (Dropdown)],Ergebnisse!$D$131,Strom[Scope 2 N2O '[kg CO2e']]),SUMIF(Kühl_und_Kältemittel[Zuordnung Gliederungselement (Dropdown)],Ergebnisse!$D$131,Kühl_und_Kältemittel[Scope 2 N2O '[kg CO2e']]),SUMIF(Fuhrpark[Zuordnung Gliederungselement (Dropdown)],Ergebnisse!$D$131,Fuhrpark[Scope 2 N2O '[kg CO2e']]))/1000</f>
        <v>0</v>
      </c>
      <c r="Z212" s="35"/>
      <c r="AA212" s="28"/>
      <c r="AB212" s="34"/>
      <c r="AC212" s="15"/>
      <c r="AD212" s="417" t="s">
        <v>592</v>
      </c>
      <c r="AE212" s="344">
        <f>SUM(SUMIF(Wärme[Zuordnung Gliederungselement (Dropdown)],Ergebnisse!$AE$131,Wärme[Scope 1 N2O '[kg N2O']]),SUMIF(Strom[Zuordnung Gliederungselement (Dropdown)],Ergebnisse!$AE$131,Strom[Scope 1 N2O '[kg N2O']]),SUMIF(Kühl_und_Kältemittel[Zuordnung Gliederungselement (Dropdown)],Ergebnisse!$AE$131,Kühl_und_Kältemittel[Scope 1 N2O '[kg N2O']]),SUMIF(Fuhrpark[Zuordnung Gliederungselement (Dropdown)],Ergebnisse!$AE$131,Fuhrpark[Scope 1 N2O '[kg N2O']]))/1000</f>
        <v>0</v>
      </c>
      <c r="AF212" s="344">
        <f>SUM(SUMIF(Wärme[Zuordnung Gliederungselement (Dropdown)],Ergebnisse!$AE$131,Wärme[Scope 1 N2O '[kg CO2e']]),SUMIF(Strom[Zuordnung Gliederungselement (Dropdown)],Ergebnisse!$AE$131,Strom[Scope 1 N2O '[kg CO2e']]),SUMIF(Kühl_und_Kältemittel[Zuordnung Gliederungselement (Dropdown)],Ergebnisse!$AE$131,Kühl_und_Kältemittel[Scope 1 N2O '[kg CO2e']]),SUMIF(Fuhrpark[Zuordnung Gliederungselement (Dropdown)],Ergebnisse!$AE$131,Fuhrpark[Scope 1 N2O '[kg CO2e']]))/1000</f>
        <v>0</v>
      </c>
      <c r="AG212" s="344">
        <f>SUM(SUMIF(Wärme[Zuordnung Gliederungselement (Dropdown)],Ergebnisse!$AE$131,Wärme[Scope 2 N2O '[kg N2O']]),SUMIF(Strom[Zuordnung Gliederungselement (Dropdown)],Ergebnisse!$AE$131,Strom[Scope 2 N2O '[kg N2O']]),SUMIF(Kühl_und_Kältemittel[Zuordnung Gliederungselement (Dropdown)],Ergebnisse!$AE$131,Kühl_und_Kältemittel[Scope 2 N2O '[kg N2O']]),SUMIF(Fuhrpark[Zuordnung Gliederungselement (Dropdown)],Ergebnisse!$AE$131,Fuhrpark[Scope 2 N2O '[kg N2O']]))/1000</f>
        <v>0</v>
      </c>
      <c r="AH212" s="344">
        <f>SUM(SUMIF(Wärme[Zuordnung Gliederungselement (Dropdown)],Ergebnisse!$AE$131,Wärme[Scope 2 N2O '[kg CO2e']]),SUMIF(Strom[Zuordnung Gliederungselement (Dropdown)],Ergebnisse!$AE$131,Strom[Scope 2 N2O '[kg CO2e']]),SUMIF(Kühl_und_Kältemittel[Zuordnung Gliederungselement (Dropdown)],Ergebnisse!$AE$131,Kühl_und_Kältemittel[Scope 2 N2O '[kg CO2e']]),SUMIF(Fuhrpark[Zuordnung Gliederungselement (Dropdown)],Ergebnisse!$AE$131,Fuhrpark[Scope 2 N2O '[kg CO2e']]))/1000</f>
        <v>0</v>
      </c>
      <c r="AI212" s="8"/>
      <c r="AJ212" s="8"/>
      <c r="AK212" s="8"/>
      <c r="AL212" s="8"/>
      <c r="AM212" s="8"/>
      <c r="AN212" s="8"/>
      <c r="AO212" s="8"/>
      <c r="AP212" s="8"/>
      <c r="BA212" s="35"/>
    </row>
    <row r="213" spans="1:53" ht="17" customHeight="1" x14ac:dyDescent="0.35">
      <c r="A213" s="34"/>
      <c r="C213" s="418" t="s">
        <v>442</v>
      </c>
      <c r="D213" s="344">
        <f>SUM(SUMIF(Wärme[Zuordnung Gliederungselement (Dropdown)],Ergebnisse!$D$131,Wärme[Scope 1 HFCs '[kg HFCs']]),SUMIF(Strom[Zuordnung Gliederungselement (Dropdown)],Ergebnisse!$D$131,Strom[Scope 1 HFCs '[kg HFCs']]),SUMIF(Kühl_und_Kältemittel[Zuordnung Gliederungselement (Dropdown)],Ergebnisse!$D$131,Kühl_und_Kältemittel[Scope 1 HFCs '[kg HFCs']]),SUMIF(Fuhrpark[Zuordnung Gliederungselement (Dropdown)],Ergebnisse!$D$131,Fuhrpark[Scope 1 HFCs '[kg HFCs']]))/1000</f>
        <v>0</v>
      </c>
      <c r="E213" s="344">
        <f>SUM(SUMIF(Wärme[Zuordnung Gliederungselement (Dropdown)],Ergebnisse!$D$131,Wärme[Scope 1 HFCs '[kg CO2e']]),SUMIF(Strom[Zuordnung Gliederungselement (Dropdown)],Ergebnisse!$D$131,Strom[Scope 1 HFCs '[kg CO2e']]),SUMIF(Kühl_und_Kältemittel[Zuordnung Gliederungselement (Dropdown)],Ergebnisse!$D$131,Kühl_und_Kältemittel[Scope 1 HFCs '[kg CO2e']]),SUMIF(Fuhrpark[Zuordnung Gliederungselement (Dropdown)],Ergebnisse!$D$131,Fuhrpark[Scope 1 HFCs '[kg CO2e']]))/1000</f>
        <v>0</v>
      </c>
      <c r="F213" s="344">
        <f>SUM(SUMIF(Wärme[Zuordnung Gliederungselement (Dropdown)],Ergebnisse!$D$131,Wärme[Scope 2 HFCs '[kg HFCs']]),SUMIF(Strom[Zuordnung Gliederungselement (Dropdown)],Ergebnisse!$D$131,Strom[Scope 2 HFCs '[kg HFCs']]),SUMIF(Kühl_und_Kältemittel[Zuordnung Gliederungselement (Dropdown)],Ergebnisse!$D$131,Kühl_und_Kältemittel[Scope 2 HFCs '[kg HFCs']]),SUMIF(Fuhrpark[Zuordnung Gliederungselement (Dropdown)],Ergebnisse!$D$131,Fuhrpark[Scope 2 HFCs '[kg HFCs']]))/1000</f>
        <v>0</v>
      </c>
      <c r="G213" s="344">
        <f>SUM(SUMIF(Wärme[Zuordnung Gliederungselement (Dropdown)],Ergebnisse!$D$131,Wärme[Scope 2 HFCs '[kg CO2e']]),SUMIF(Strom[Zuordnung Gliederungselement (Dropdown)],Ergebnisse!$D$131,Strom[Scope 2 HFCs '[kg CO2e']]),SUMIF(Kühl_und_Kältemittel[Zuordnung Gliederungselement (Dropdown)],Ergebnisse!$D$131,Kühl_und_Kältemittel[Scope 2 HFCs '[kg CO2e']]),SUMIF(Fuhrpark[Zuordnung Gliederungselement (Dropdown)],Ergebnisse!$D$131,Fuhrpark[Scope 2 HFCs '[kg CO2e']]))/1000</f>
        <v>0</v>
      </c>
      <c r="Z213" s="35"/>
      <c r="AA213" s="28"/>
      <c r="AB213" s="34"/>
      <c r="AC213" s="15"/>
      <c r="AD213" s="418" t="s">
        <v>442</v>
      </c>
      <c r="AE213" s="344">
        <f>SUM(SUMIF(Wärme[Zuordnung Gliederungselement (Dropdown)],Ergebnisse!$AE$131,Wärme[Scope 1 HFCs '[kg HFCs']]),SUMIF(Strom[Zuordnung Gliederungselement (Dropdown)],Ergebnisse!$AE$131,Strom[Scope 1 HFCs '[kg HFCs']]),SUMIF(Kühl_und_Kältemittel[Zuordnung Gliederungselement (Dropdown)],Ergebnisse!$AE$131,Kühl_und_Kältemittel[Scope 1 HFCs '[kg HFCs']]),SUMIF(Fuhrpark[Zuordnung Gliederungselement (Dropdown)],Ergebnisse!$AE$131,Fuhrpark[Scope 1 HFCs '[kg HFCs']]))/1000</f>
        <v>0</v>
      </c>
      <c r="AF213" s="344">
        <f>SUM(SUMIF(Wärme[Zuordnung Gliederungselement (Dropdown)],Ergebnisse!$AE$131,Wärme[Scope 1 HFCs '[kg CO2e']]),SUMIF(Strom[Zuordnung Gliederungselement (Dropdown)],Ergebnisse!$AE$131,Strom[Scope 1 HFCs '[kg CO2e']]),SUMIF(Kühl_und_Kältemittel[Zuordnung Gliederungselement (Dropdown)],Ergebnisse!$AE$131,Kühl_und_Kältemittel[Scope 1 HFCs '[kg CO2e']]),SUMIF(Fuhrpark[Zuordnung Gliederungselement (Dropdown)],Ergebnisse!$AE$131,Fuhrpark[Scope 1 HFCs '[kg CO2e']]))/1000</f>
        <v>0</v>
      </c>
      <c r="AG213" s="344">
        <f>SUM(SUMIF(Wärme[Zuordnung Gliederungselement (Dropdown)],Ergebnisse!$AE$131,Wärme[Scope 2 HFCs '[kg HFCs']]),SUMIF(Strom[Zuordnung Gliederungselement (Dropdown)],Ergebnisse!$AE$131,Strom[Scope 2 HFCs '[kg HFCs']]),SUMIF(Kühl_und_Kältemittel[Zuordnung Gliederungselement (Dropdown)],Ergebnisse!$AE$131,Kühl_und_Kältemittel[Scope 2 HFCs '[kg HFCs']]),SUMIF(Fuhrpark[Zuordnung Gliederungselement (Dropdown)],Ergebnisse!$AE$131,Fuhrpark[Scope 2 HFCs '[kg HFCs']]))/1000</f>
        <v>0</v>
      </c>
      <c r="AH213" s="344">
        <f>SUM(SUMIF(Wärme[Zuordnung Gliederungselement (Dropdown)],Ergebnisse!$AE$131,Wärme[Scope 2 HFCs '[kg CO2e']]),SUMIF(Strom[Zuordnung Gliederungselement (Dropdown)],Ergebnisse!$AE$131,Strom[Scope 2 HFCs '[kg CO2e']]),SUMIF(Kühl_und_Kältemittel[Zuordnung Gliederungselement (Dropdown)],Ergebnisse!$AE$131,Kühl_und_Kältemittel[Scope 2 HFCs '[kg CO2e']]),SUMIF(Fuhrpark[Zuordnung Gliederungselement (Dropdown)],Ergebnisse!$AE$131,Fuhrpark[Scope 2 HFCs '[kg CO2e']]))/1000</f>
        <v>0</v>
      </c>
      <c r="AI213" s="8"/>
      <c r="AJ213" s="8"/>
      <c r="AK213" s="8"/>
      <c r="AL213" s="8"/>
      <c r="AM213" s="8"/>
      <c r="AN213" s="8"/>
      <c r="AO213" s="8"/>
      <c r="AP213" s="8"/>
      <c r="BA213" s="35"/>
    </row>
    <row r="214" spans="1:53" ht="17" customHeight="1" x14ac:dyDescent="0.35">
      <c r="A214" s="34"/>
      <c r="C214" s="417" t="s">
        <v>443</v>
      </c>
      <c r="D214" s="344">
        <f>SUM(SUMIF(Wärme[Zuordnung Gliederungselement (Dropdown)],Ergebnisse!$D$131,Wärme[Scope 1 PFCs '[kg PFCs']]),SUMIF(Strom[Zuordnung Gliederungselement (Dropdown)],Ergebnisse!$D$131,Strom[Scope 1 PFCs '[kg PFCs']]),SUMIF(Kühl_und_Kältemittel[Zuordnung Gliederungselement (Dropdown)],Ergebnisse!$D$131,Kühl_und_Kältemittel[Scope 1 PFCs '[kg PFCs']]),SUMIF(Fuhrpark[Zuordnung Gliederungselement (Dropdown)],Ergebnisse!$D$131,Fuhrpark[Scope 1 PFCs '[kg PFCs']]))/1000</f>
        <v>0</v>
      </c>
      <c r="E214" s="344">
        <f>SUM(SUMIF(Wärme[Zuordnung Gliederungselement (Dropdown)],Ergebnisse!$D$131,Wärme[Scope 1 PFCs '[kg CO2e']]),SUMIF(Strom[Zuordnung Gliederungselement (Dropdown)],Ergebnisse!$D$131,Strom[Scope 1 PFCs '[kg CO2e']]),SUMIF(Kühl_und_Kältemittel[Zuordnung Gliederungselement (Dropdown)],Ergebnisse!$D$131,Kühl_und_Kältemittel[Scope 1 PFCs '[kg CO2e']]),SUMIF(Fuhrpark[Zuordnung Gliederungselement (Dropdown)],Ergebnisse!$D$131,Fuhrpark[Scope 1 PFCs '[kg CO2e']]))/1000</f>
        <v>0</v>
      </c>
      <c r="F214" s="344">
        <f>SUM(SUMIF(Wärme[Zuordnung Gliederungselement (Dropdown)],Ergebnisse!$D$131,Wärme[Scope 2 PFCs '[kg PFCs']]),SUMIF(Strom[Zuordnung Gliederungselement (Dropdown)],Ergebnisse!$D$131,Strom[Scope 2 PFCs '[kg PFCs']]),SUMIF(Kühl_und_Kältemittel[Zuordnung Gliederungselement (Dropdown)],Ergebnisse!$D$131,Kühl_und_Kältemittel[Scope 2 PFCs '[kg PFCs']]),SUMIF(Fuhrpark[Zuordnung Gliederungselement (Dropdown)],Ergebnisse!$D$131,Fuhrpark[Scope 2 PFCs '[kg PFCs']]))/1000</f>
        <v>0</v>
      </c>
      <c r="G214" s="344">
        <f>SUM(SUMIF(Wärme[Zuordnung Gliederungselement (Dropdown)],Ergebnisse!$D$131,Wärme[Scope 2 PFCs '[kg CO2e']]),SUMIF(Strom[Zuordnung Gliederungselement (Dropdown)],Ergebnisse!$D$131,Strom[Scope 2 PFCs '[kg CO2e']]),SUMIF(Kühl_und_Kältemittel[Zuordnung Gliederungselement (Dropdown)],Ergebnisse!$D$131,Kühl_und_Kältemittel[Scope 2 PFCs '[kg CO2e']]),SUMIF(Fuhrpark[Zuordnung Gliederungselement (Dropdown)],Ergebnisse!$D$131,Fuhrpark[Scope 2 PFCs '[kg CO2e']]))/1000</f>
        <v>0</v>
      </c>
      <c r="Z214" s="35"/>
      <c r="AA214" s="28"/>
      <c r="AB214" s="34"/>
      <c r="AC214" s="15"/>
      <c r="AD214" s="417" t="s">
        <v>443</v>
      </c>
      <c r="AE214" s="344">
        <f>SUM(SUMIF(Wärme[Zuordnung Gliederungselement (Dropdown)],Ergebnisse!$AE$131,Wärme[Scope 1 PFCs '[kg PFCs']]),SUMIF(Strom[Zuordnung Gliederungselement (Dropdown)],Ergebnisse!$AE$131,Strom[Scope 1 PFCs '[kg PFCs']]),SUMIF(Kühl_und_Kältemittel[Zuordnung Gliederungselement (Dropdown)],Ergebnisse!$AE$131,Kühl_und_Kältemittel[Scope 1 PFCs '[kg PFCs']]),SUMIF(Fuhrpark[Zuordnung Gliederungselement (Dropdown)],Ergebnisse!$AE$131,Fuhrpark[Scope 1 PFCs '[kg PFCs']]))/1000</f>
        <v>0</v>
      </c>
      <c r="AF214" s="344">
        <f>SUM(SUMIF(Wärme[Zuordnung Gliederungselement (Dropdown)],Ergebnisse!$AE$131,Wärme[Scope 1 PFCs '[kg CO2e']]),SUMIF(Strom[Zuordnung Gliederungselement (Dropdown)],Ergebnisse!$AE$131,Strom[Scope 1 PFCs '[kg CO2e']]),SUMIF(Kühl_und_Kältemittel[Zuordnung Gliederungselement (Dropdown)],Ergebnisse!$AE$131,Kühl_und_Kältemittel[Scope 1 PFCs '[kg CO2e']]),SUMIF(Fuhrpark[Zuordnung Gliederungselement (Dropdown)],Ergebnisse!$AE$131,Fuhrpark[Scope 1 PFCs '[kg CO2e']]))/1000</f>
        <v>0</v>
      </c>
      <c r="AG214" s="344">
        <f>SUM(SUMIF(Wärme[Zuordnung Gliederungselement (Dropdown)],Ergebnisse!$AE$131,Wärme[Scope 2 PFCs '[kg PFCs']]),SUMIF(Strom[Zuordnung Gliederungselement (Dropdown)],Ergebnisse!$AE$131,Strom[Scope 2 PFCs '[kg PFCs']]),SUMIF(Kühl_und_Kältemittel[Zuordnung Gliederungselement (Dropdown)],Ergebnisse!$AE$131,Kühl_und_Kältemittel[Scope 2 PFCs '[kg PFCs']]),SUMIF(Fuhrpark[Zuordnung Gliederungselement (Dropdown)],Ergebnisse!$AE$131,Fuhrpark[Scope 2 PFCs '[kg PFCs']]))/1000</f>
        <v>0</v>
      </c>
      <c r="AH214" s="344">
        <f>SUM(SUMIF(Wärme[Zuordnung Gliederungselement (Dropdown)],Ergebnisse!$AE$131,Wärme[Scope 2 PFCs '[kg CO2e']]),SUMIF(Strom[Zuordnung Gliederungselement (Dropdown)],Ergebnisse!$AE$131,Strom[Scope 2 PFCs '[kg CO2e']]),SUMIF(Kühl_und_Kältemittel[Zuordnung Gliederungselement (Dropdown)],Ergebnisse!$AE$131,Kühl_und_Kältemittel[Scope 2 PFCs '[kg CO2e']]),SUMIF(Fuhrpark[Zuordnung Gliederungselement (Dropdown)],Ergebnisse!$AE$131,Fuhrpark[Scope 2 PFCs '[kg CO2e']]))/1000</f>
        <v>0</v>
      </c>
      <c r="AI214" s="8"/>
      <c r="AJ214" s="8"/>
      <c r="AK214" s="8"/>
      <c r="AL214" s="8"/>
      <c r="AM214" s="8"/>
      <c r="AN214" s="8"/>
      <c r="AO214" s="8"/>
      <c r="AP214" s="8"/>
      <c r="BA214" s="35"/>
    </row>
    <row r="215" spans="1:53" ht="17" customHeight="1" x14ac:dyDescent="0.35">
      <c r="A215" s="34"/>
      <c r="C215" s="417" t="s">
        <v>593</v>
      </c>
      <c r="D215" s="344">
        <f>SUM(SUMIF(Wärme[Zuordnung Gliederungselement (Dropdown)],Ergebnisse!$D$131,Wärme[Scope 1 SF6 '[kg SF6']]),SUMIF(Strom[Zuordnung Gliederungselement (Dropdown)],Ergebnisse!$D$131,Strom[Scope 1 SF6 '[kg SF6']]),SUMIF(Kühl_und_Kältemittel[Zuordnung Gliederungselement (Dropdown)],Ergebnisse!$D$131,Kühl_und_Kältemittel[Scope 1 SF6 '[kg SF6']]),SUMIF(Fuhrpark[Zuordnung Gliederungselement (Dropdown)],Ergebnisse!$D$131,Fuhrpark[Scope 1 SF6 '[kg SF6']]))/1000</f>
        <v>0</v>
      </c>
      <c r="E215" s="344">
        <f>SUM(SUMIF(Wärme[Zuordnung Gliederungselement (Dropdown)],Ergebnisse!$D$131,Wärme[Scope 1 SF6 '[kg CO2e']]),SUMIF(Strom[Zuordnung Gliederungselement (Dropdown)],Ergebnisse!$D$131,Strom[Scope 1 SF6 '[kg CO2e']]),SUMIF(Kühl_und_Kältemittel[Zuordnung Gliederungselement (Dropdown)],Ergebnisse!$D$131,Kühl_und_Kältemittel[Scope 1 SF6 '[kg CO2e']]),SUMIF(Fuhrpark[Zuordnung Gliederungselement (Dropdown)],Ergebnisse!$D$131,Fuhrpark[Scope 1 SF6 '[kg CO2e']]))/1000</f>
        <v>0</v>
      </c>
      <c r="F215" s="344">
        <f>SUM(SUMIF(Wärme[Zuordnung Gliederungselement (Dropdown)],Ergebnisse!$D$131,Wärme[Scope 2 SF6 '[kg SF6']]),SUMIF(Strom[Zuordnung Gliederungselement (Dropdown)],Ergebnisse!$D$131,Strom[Scope 2 SF6 '[kg SF6']]),SUMIF(Kühl_und_Kältemittel[Zuordnung Gliederungselement (Dropdown)],Ergebnisse!$D$131,Kühl_und_Kältemittel[Scope 2 SF6 '[kg SF6']]),SUMIF(Fuhrpark[Zuordnung Gliederungselement (Dropdown)],Ergebnisse!$D$131,Fuhrpark[Scope 2 SF6 '[kg SF6']]))/1000</f>
        <v>0</v>
      </c>
      <c r="G215" s="344">
        <f>SUM(SUMIF(Wärme[Zuordnung Gliederungselement (Dropdown)],Ergebnisse!$D$131,Wärme[Scope 2 SF6 '[kg CO2e']]),SUMIF(Strom[Zuordnung Gliederungselement (Dropdown)],Ergebnisse!$D$131,Strom[Scope 2 SF6 '[kg CO2e']]),SUMIF(Kühl_und_Kältemittel[Zuordnung Gliederungselement (Dropdown)],Ergebnisse!$D$131,Kühl_und_Kältemittel[Scope 2 SF6 '[kg CO2e']]),SUMIF(Fuhrpark[Zuordnung Gliederungselement (Dropdown)],Ergebnisse!$D$131,Fuhrpark[Scope 2 SF6 '[kg CO2e']]))/1000</f>
        <v>0</v>
      </c>
      <c r="Z215" s="35"/>
      <c r="AA215" s="28"/>
      <c r="AB215" s="34"/>
      <c r="AC215" s="15"/>
      <c r="AD215" s="417" t="s">
        <v>593</v>
      </c>
      <c r="AE215" s="344">
        <f>SUM(SUMIF(Wärme[Zuordnung Gliederungselement (Dropdown)],Ergebnisse!$AE$131,Wärme[Scope 1 SF6 '[kg SF6']]),SUMIF(Strom[Zuordnung Gliederungselement (Dropdown)],Ergebnisse!$AE$131,Strom[Scope 1 SF6 '[kg SF6']]),SUMIF(Kühl_und_Kältemittel[Zuordnung Gliederungselement (Dropdown)],Ergebnisse!$AE$131,Kühl_und_Kältemittel[Scope 1 SF6 '[kg SF6']]),SUMIF(Fuhrpark[Zuordnung Gliederungselement (Dropdown)],Ergebnisse!$AE$131,Fuhrpark[Scope 1 SF6 '[kg SF6']]))/1000</f>
        <v>0</v>
      </c>
      <c r="AF215" s="344">
        <f>SUM(SUMIF(Wärme[Zuordnung Gliederungselement (Dropdown)],Ergebnisse!$AE$131,Wärme[Scope 1 SF6 '[kg CO2e']]),SUMIF(Strom[Zuordnung Gliederungselement (Dropdown)],Ergebnisse!$AE$131,Strom[Scope 1 SF6 '[kg CO2e']]),SUMIF(Kühl_und_Kältemittel[Zuordnung Gliederungselement (Dropdown)],Ergebnisse!$AE$131,Kühl_und_Kältemittel[Scope 1 SF6 '[kg CO2e']]),SUMIF(Fuhrpark[Zuordnung Gliederungselement (Dropdown)],Ergebnisse!$AE$131,Fuhrpark[Scope 1 SF6 '[kg CO2e']]))/1000</f>
        <v>0</v>
      </c>
      <c r="AG215" s="344">
        <f>SUM(SUMIF(Wärme[Zuordnung Gliederungselement (Dropdown)],Ergebnisse!$AE$131,Wärme[Scope 2 SF6 '[kg SF6']]),SUMIF(Strom[Zuordnung Gliederungselement (Dropdown)],Ergebnisse!$AE$131,Strom[Scope 2 SF6 '[kg SF6']]),SUMIF(Kühl_und_Kältemittel[Zuordnung Gliederungselement (Dropdown)],Ergebnisse!$AE$131,Kühl_und_Kältemittel[Scope 2 SF6 '[kg SF6']]),SUMIF(Fuhrpark[Zuordnung Gliederungselement (Dropdown)],Ergebnisse!$AE$131,Fuhrpark[Scope 2 SF6 '[kg SF6']]))/1000</f>
        <v>0</v>
      </c>
      <c r="AH215" s="344">
        <f>SUM(SUMIF(Wärme[Zuordnung Gliederungselement (Dropdown)],Ergebnisse!$AE$131,Wärme[Scope 2 SF6 '[kg CO2e']]),SUMIF(Strom[Zuordnung Gliederungselement (Dropdown)],Ergebnisse!$AE$131,Strom[Scope 2 SF6 '[kg CO2e']]),SUMIF(Kühl_und_Kältemittel[Zuordnung Gliederungselement (Dropdown)],Ergebnisse!$AE$131,Kühl_und_Kältemittel[Scope 2 SF6 '[kg CO2e']]),SUMIF(Fuhrpark[Zuordnung Gliederungselement (Dropdown)],Ergebnisse!$AE$131,Fuhrpark[Scope 2 SF6 '[kg CO2e']]))/1000</f>
        <v>0</v>
      </c>
      <c r="AI215" s="8"/>
      <c r="AJ215" s="8"/>
      <c r="AK215" s="8"/>
      <c r="AL215" s="8"/>
      <c r="AM215" s="8"/>
      <c r="AN215" s="8"/>
      <c r="AO215" s="8"/>
      <c r="AP215" s="8"/>
      <c r="BA215" s="35"/>
    </row>
    <row r="216" spans="1:53" ht="17" customHeight="1" x14ac:dyDescent="0.35">
      <c r="A216" s="34"/>
      <c r="C216" s="417" t="s">
        <v>594</v>
      </c>
      <c r="D216" s="344">
        <f>SUM(SUMIF(Wärme[Zuordnung Gliederungselement (Dropdown)],Ergebnisse!$D$131,Wärme[Scope 1 NF3 '[kg NF3']]),SUMIF(Strom[Zuordnung Gliederungselement (Dropdown)],Ergebnisse!$D$131,Strom[Scope 1 NF3 '[kg NF3']]),SUMIF(Kühl_und_Kältemittel[Zuordnung Gliederungselement (Dropdown)],Ergebnisse!$D$131,Kühl_und_Kältemittel[Scope 1 NF3 '[kg NF3']]),SUMIF(Fuhrpark[Zuordnung Gliederungselement (Dropdown)],Ergebnisse!$D$131,Fuhrpark[Scope 1 NF3 '[kg NF3']]))/1000</f>
        <v>0</v>
      </c>
      <c r="E216" s="344">
        <f>SUM(SUMIF(Wärme[Zuordnung Gliederungselement (Dropdown)],Ergebnisse!$D$131,Wärme[Scope 1 NF3 '[kg CO2e']]),SUMIF(Strom[Zuordnung Gliederungselement (Dropdown)],Ergebnisse!$D$131,Strom[Scope 1 NF3 '[kg CO2e']]),SUMIF(Kühl_und_Kältemittel[Zuordnung Gliederungselement (Dropdown)],Ergebnisse!$D$131,Kühl_und_Kältemittel[Scope 1 NF3 '[kg CO2e']]),SUMIF(Fuhrpark[Zuordnung Gliederungselement (Dropdown)],Ergebnisse!$D$131,Fuhrpark[Scope 1 NF3 '[kg CO2e']]))/1000</f>
        <v>0</v>
      </c>
      <c r="F216" s="344">
        <f>SUM(SUMIF(Wärme[Zuordnung Gliederungselement (Dropdown)],Ergebnisse!$D$131,Wärme[Scope 2 NF3 '[kg NF3']]),SUMIF(Strom[Zuordnung Gliederungselement (Dropdown)],Ergebnisse!$D$131,Strom[Scope 2 NF3 '[kg NF3']]),SUMIF(Kühl_und_Kältemittel[Zuordnung Gliederungselement (Dropdown)],Ergebnisse!$D$131,Kühl_und_Kältemittel[Scope 2 NF3 '[kg NF3']]),SUMIF(Fuhrpark[Zuordnung Gliederungselement (Dropdown)],Ergebnisse!$D$131,Fuhrpark[Scope 2 NF3 '[kg NF3']]))/1000</f>
        <v>0</v>
      </c>
      <c r="G216" s="344">
        <f>SUM(SUMIF(Wärme[Zuordnung Gliederungselement (Dropdown)],Ergebnisse!$D$131,Wärme[Scope 2 NF3 '[kg CO2e']]),SUMIF(Strom[Zuordnung Gliederungselement (Dropdown)],Ergebnisse!$D$131,Strom[Scope 2 NF3 '[kg CO2e']]),SUMIF(Kühl_und_Kältemittel[Zuordnung Gliederungselement (Dropdown)],Ergebnisse!$D$131,Kühl_und_Kältemittel[Scope 2 NF3 '[kg CO2e']]),SUMIF(Fuhrpark[Zuordnung Gliederungselement (Dropdown)],Ergebnisse!$D$131,Fuhrpark[Scope 2 NF3 '[kg CO2e']]))/1000</f>
        <v>0</v>
      </c>
      <c r="Z216" s="35"/>
      <c r="AA216" s="28"/>
      <c r="AB216" s="34"/>
      <c r="AC216" s="15"/>
      <c r="AD216" s="417" t="s">
        <v>594</v>
      </c>
      <c r="AE216" s="344">
        <f>SUM(SUMIF(Wärme[Zuordnung Gliederungselement (Dropdown)],Ergebnisse!$AE$131,Wärme[Scope 1 NF3 '[kg NF3']]),SUMIF(Strom[Zuordnung Gliederungselement (Dropdown)],Ergebnisse!$AE$131,Strom[Scope 1 NF3 '[kg NF3']]),SUMIF(Kühl_und_Kältemittel[Zuordnung Gliederungselement (Dropdown)],Ergebnisse!$AE$131,Kühl_und_Kältemittel[Scope 1 NF3 '[kg NF3']]),SUMIF(Fuhrpark[Zuordnung Gliederungselement (Dropdown)],Ergebnisse!$AE$131,Fuhrpark[Scope 1 NF3 '[kg NF3']]))/1000</f>
        <v>0</v>
      </c>
      <c r="AF216" s="344">
        <f>SUM(SUMIF(Wärme[Zuordnung Gliederungselement (Dropdown)],Ergebnisse!$AE$131,Wärme[Scope 1 NF3 '[kg CO2e']]),SUMIF(Strom[Zuordnung Gliederungselement (Dropdown)],Ergebnisse!$AE$131,Strom[Scope 1 NF3 '[kg CO2e']]),SUMIF(Kühl_und_Kältemittel[Zuordnung Gliederungselement (Dropdown)],Ergebnisse!$AE$131,Kühl_und_Kältemittel[Scope 1 NF3 '[kg CO2e']]),SUMIF(Fuhrpark[Zuordnung Gliederungselement (Dropdown)],Ergebnisse!$AE$131,Fuhrpark[Scope 1 NF3 '[kg CO2e']]))/1000</f>
        <v>0</v>
      </c>
      <c r="AG216" s="344">
        <f>SUM(SUMIF(Wärme[Zuordnung Gliederungselement (Dropdown)],Ergebnisse!$AE$131,Wärme[Scope 2 NF3 '[kg NF3']]),SUMIF(Strom[Zuordnung Gliederungselement (Dropdown)],Ergebnisse!$AE$131,Strom[Scope 2 NF3 '[kg NF3']]),SUMIF(Kühl_und_Kältemittel[Zuordnung Gliederungselement (Dropdown)],Ergebnisse!$AE$131,Kühl_und_Kältemittel[Scope 2 NF3 '[kg NF3']]),SUMIF(Fuhrpark[Zuordnung Gliederungselement (Dropdown)],Ergebnisse!$AE$131,Fuhrpark[Scope 2 NF3 '[kg NF3']]))/1000</f>
        <v>0</v>
      </c>
      <c r="AH216" s="344">
        <f>SUM(SUMIF(Wärme[Zuordnung Gliederungselement (Dropdown)],Ergebnisse!$AE$131,Wärme[Scope 2 NF3 '[kg CO2e']]),SUMIF(Strom[Zuordnung Gliederungselement (Dropdown)],Ergebnisse!$AE$131,Strom[Scope 2 NF3 '[kg CO2e']]),SUMIF(Kühl_und_Kältemittel[Zuordnung Gliederungselement (Dropdown)],Ergebnisse!$AE$131,Kühl_und_Kältemittel[Scope 2 NF3 '[kg CO2e']]),SUMIF(Fuhrpark[Zuordnung Gliederungselement (Dropdown)],Ergebnisse!$AE$131,Fuhrpark[Scope 2 NF3 '[kg CO2e']]))/1000</f>
        <v>0</v>
      </c>
      <c r="AI216" s="8"/>
      <c r="AJ216" s="8"/>
      <c r="AK216" s="8"/>
      <c r="AL216" s="8"/>
      <c r="AM216" s="8"/>
      <c r="AN216" s="8"/>
      <c r="AO216" s="8"/>
      <c r="AP216" s="8"/>
      <c r="BA216" s="35"/>
    </row>
    <row r="217" spans="1:53" ht="17" customHeight="1" x14ac:dyDescent="0.35">
      <c r="A217" s="34"/>
      <c r="C217" s="417" t="s">
        <v>544</v>
      </c>
      <c r="D217" s="344">
        <f>SUM(SUMIF(Wärme[Zuordnung Gliederungselement (Dropdown)],Ergebnisse!$D$131,Wärme[Scope 1 non-Kyoto '[kg non-Kyoto gas']]),SUMIF(Strom[Zuordnung Gliederungselement (Dropdown)],Ergebnisse!$D$131,Strom[Scope 1 non-Kyoto '[kg non-Kyoto gas']]),SUMIF(Kühl_und_Kältemittel[Zuordnung Gliederungselement (Dropdown)],Ergebnisse!$D$131,Kühl_und_Kältemittel[Scope 1 non-Kyoto '[kg non-Kyoto gas']]),SUMIF(Fuhrpark[Zuordnung Gliederungselement (Dropdown)],Ergebnisse!$D$131,Fuhrpark[Scope 1 non-Kyoto '[kg non-Kyoto gas']]))/1000</f>
        <v>0</v>
      </c>
      <c r="E217" s="344">
        <f>SUM(SUMIF(Wärme[Zuordnung Gliederungselement (Dropdown)],Ergebnisse!$D$131,Wärme[Scope 1 non-Kyoto '[kg CO2e']]),SUMIF(Strom[Zuordnung Gliederungselement (Dropdown)],Ergebnisse!$D$131,Strom[Scope 1 non-Kyoto '[kg CO2e']]),SUMIF(Kühl_und_Kältemittel[Zuordnung Gliederungselement (Dropdown)],Ergebnisse!$D$131,Kühl_und_Kältemittel[Scope 1 non-Kyoto '[kg CO2e']]),SUMIF(Fuhrpark[Zuordnung Gliederungselement (Dropdown)],Ergebnisse!$D$131,Fuhrpark[Scope 1 non-Kyoto '[kg CO2e']]))/1000</f>
        <v>0</v>
      </c>
      <c r="F217" s="344">
        <f>SUM(SUMIF(Wärme[Zuordnung Gliederungselement (Dropdown)],Ergebnisse!$D$131,Wärme[Scope 2 non-Kyoto '[kg non-Kyoto gas']]),SUMIF(Strom[Zuordnung Gliederungselement (Dropdown)],Ergebnisse!$D$131,Strom[Scope 2 non-Kyoto '[kg non-Kyoto gas']]),SUMIF(Kühl_und_Kältemittel[Zuordnung Gliederungselement (Dropdown)],Ergebnisse!$D$131,Kühl_und_Kältemittel[Scope 2 non-Kyoto '[kg non-Kyoto gas']]),SUMIF(Fuhrpark[Zuordnung Gliederungselement (Dropdown)],Ergebnisse!$D$131,Fuhrpark[Scope 2 non-Kyoto '[kg non-Kyoto gas']]))/1000</f>
        <v>0</v>
      </c>
      <c r="G217" s="344">
        <f>SUM(SUMIF(Wärme[Zuordnung Gliederungselement (Dropdown)],Ergebnisse!$D$131,Wärme[Scope 2 non-Kyoto '[kg CO2e']]),SUMIF(Strom[Zuordnung Gliederungselement (Dropdown)],Ergebnisse!$D$131,Strom[Scope 2 non-Kyoto '[kg CO2e']]),SUMIF(Kühl_und_Kältemittel[Zuordnung Gliederungselement (Dropdown)],Ergebnisse!$D$131,Kühl_und_Kältemittel[Scope 2 non-Kyoto '[kg CO2e']]),SUMIF(Fuhrpark[Zuordnung Gliederungselement (Dropdown)],Ergebnisse!$D$131,Fuhrpark[Scope 2 non-Kyoto '[kg CO2e']]))/1000</f>
        <v>0</v>
      </c>
      <c r="Z217" s="35"/>
      <c r="AA217" s="28"/>
      <c r="AB217" s="34"/>
      <c r="AC217" s="15"/>
      <c r="AD217" s="417" t="s">
        <v>544</v>
      </c>
      <c r="AE217" s="344">
        <f>SUM(SUMIF(Wärme[Zuordnung Gliederungselement (Dropdown)],Ergebnisse!$D$131,Wärme[Scope 1 non-Kyoto '[kg non-Kyoto gas']]),SUMIF(Strom[Zuordnung Gliederungselement (Dropdown)],Ergebnisse!$D$131,Strom[Scope 1 non-Kyoto '[kg non-Kyoto gas']]),SUMIF(Kühl_und_Kältemittel[Zuordnung Gliederungselement (Dropdown)],Ergebnisse!$D$131,Kühl_und_Kältemittel[Scope 1 non-Kyoto '[kg non-Kyoto gas']]),SUMIF(Fuhrpark[Zuordnung Gliederungselement (Dropdown)],Ergebnisse!$D$131,Fuhrpark[Scope 1 non-Kyoto '[kg non-Kyoto gas']]))/1000</f>
        <v>0</v>
      </c>
      <c r="AF217" s="344">
        <f>SUM(SUMIF(Wärme[Zuordnung Gliederungselement (Dropdown)],Ergebnisse!$D$131,Wärme[Scope 1 non-Kyoto '[kg CO2e']]),SUMIF(Strom[Zuordnung Gliederungselement (Dropdown)],Ergebnisse!$D$131,Strom[Scope 1 non-Kyoto '[kg CO2e']]),SUMIF(Kühl_und_Kältemittel[Zuordnung Gliederungselement (Dropdown)],Ergebnisse!$D$131,Kühl_und_Kältemittel[Scope 1 non-Kyoto '[kg CO2e']]),SUMIF(Fuhrpark[Zuordnung Gliederungselement (Dropdown)],Ergebnisse!$D$131,Fuhrpark[Scope 1 non-Kyoto '[kg CO2e']]))/1000</f>
        <v>0</v>
      </c>
      <c r="AG217" s="344">
        <f>SUM(SUMIF(Wärme[Zuordnung Gliederungselement (Dropdown)],Ergebnisse!$D$131,Wärme[Scope 2 non-Kyoto '[kg non-Kyoto gas']]),SUMIF(Strom[Zuordnung Gliederungselement (Dropdown)],Ergebnisse!$D$131,Strom[Scope 2 non-Kyoto '[kg non-Kyoto gas']]),SUMIF(Kühl_und_Kältemittel[Zuordnung Gliederungselement (Dropdown)],Ergebnisse!$D$131,Kühl_und_Kältemittel[Scope 2 non-Kyoto '[kg non-Kyoto gas']]),SUMIF(Fuhrpark[Zuordnung Gliederungselement (Dropdown)],Ergebnisse!$D$131,Fuhrpark[Scope 2 non-Kyoto '[kg non-Kyoto gas']]))/1000</f>
        <v>0</v>
      </c>
      <c r="AH217" s="344">
        <f>SUM(SUMIF(Wärme[Zuordnung Gliederungselement (Dropdown)],Ergebnisse!$D$131,Wärme[Scope 2 non-Kyoto '[kg CO2e']]),SUMIF(Strom[Zuordnung Gliederungselement (Dropdown)],Ergebnisse!$D$131,Strom[Scope 2 non-Kyoto '[kg CO2e']]),SUMIF(Kühl_und_Kältemittel[Zuordnung Gliederungselement (Dropdown)],Ergebnisse!$D$131,Kühl_und_Kältemittel[Scope 2 non-Kyoto '[kg CO2e']]),SUMIF(Fuhrpark[Zuordnung Gliederungselement (Dropdown)],Ergebnisse!$D$131,Fuhrpark[Scope 2 non-Kyoto '[kg CO2e']]))/1000</f>
        <v>0</v>
      </c>
      <c r="AI217" s="8"/>
      <c r="AJ217" s="8"/>
      <c r="AK217" s="8"/>
      <c r="AL217" s="8"/>
      <c r="AM217" s="8"/>
      <c r="AN217" s="8"/>
      <c r="AO217" s="8"/>
      <c r="AP217" s="8"/>
      <c r="BA217" s="35"/>
    </row>
    <row r="218" spans="1:53" ht="24" customHeight="1" thickBot="1" x14ac:dyDescent="0.4">
      <c r="A218" s="43"/>
      <c r="B218" s="222"/>
      <c r="C218" s="45"/>
      <c r="D218" s="46"/>
      <c r="E218" s="46"/>
      <c r="F218" s="46"/>
      <c r="G218" s="46"/>
      <c r="H218" s="47"/>
      <c r="I218" s="47"/>
      <c r="J218" s="47"/>
      <c r="K218" s="47"/>
      <c r="L218" s="47"/>
      <c r="M218" s="47"/>
      <c r="N218" s="47"/>
      <c r="O218" s="47"/>
      <c r="P218" s="47"/>
      <c r="Q218" s="47"/>
      <c r="R218" s="47"/>
      <c r="S218" s="47"/>
      <c r="T218" s="47"/>
      <c r="U218" s="47"/>
      <c r="V218" s="47"/>
      <c r="W218" s="46"/>
      <c r="X218" s="46"/>
      <c r="Y218" s="46"/>
      <c r="Z218" s="48"/>
      <c r="AA218" s="425"/>
      <c r="AB218" s="43"/>
      <c r="AC218" s="222"/>
      <c r="AD218" s="45"/>
      <c r="AE218" s="46"/>
      <c r="AF218" s="46"/>
      <c r="AG218" s="46"/>
      <c r="AH218" s="46"/>
      <c r="AI218" s="47"/>
      <c r="AJ218" s="47"/>
      <c r="AK218" s="47"/>
      <c r="AL218" s="47"/>
      <c r="AM218" s="47"/>
      <c r="AN218" s="47"/>
      <c r="AO218" s="47"/>
      <c r="AP218" s="47"/>
      <c r="AQ218" s="47"/>
      <c r="AR218" s="47"/>
      <c r="AS218" s="47"/>
      <c r="AT218" s="47"/>
      <c r="AU218" s="47"/>
      <c r="AV218" s="47"/>
      <c r="AW218" s="47"/>
      <c r="AX218" s="46"/>
      <c r="AY218" s="46"/>
      <c r="AZ218" s="46"/>
      <c r="BA218" s="48"/>
    </row>
    <row r="219" spans="1:53" ht="24" customHeight="1" x14ac:dyDescent="0.45">
      <c r="A219" s="258"/>
      <c r="B219" s="657" t="s">
        <v>407</v>
      </c>
      <c r="C219" s="657"/>
      <c r="D219" s="264" t="str">
        <f>IF(ISBLANK($D$131),"",$D$131)</f>
        <v/>
      </c>
      <c r="E219" s="261"/>
      <c r="F219" s="261"/>
      <c r="G219" s="261"/>
      <c r="H219" s="262"/>
      <c r="I219" s="262"/>
      <c r="J219" s="262"/>
      <c r="K219" s="262"/>
      <c r="L219" s="262"/>
      <c r="M219" s="262"/>
      <c r="N219" s="262"/>
      <c r="O219" s="262"/>
      <c r="P219" s="261"/>
      <c r="Q219" s="261"/>
      <c r="R219" s="261"/>
      <c r="S219" s="261"/>
      <c r="T219" s="261"/>
      <c r="U219" s="261"/>
      <c r="V219" s="261"/>
      <c r="W219" s="261"/>
      <c r="X219" s="261"/>
      <c r="Y219" s="261"/>
      <c r="Z219" s="263"/>
      <c r="AA219" s="424"/>
      <c r="AB219" s="258"/>
      <c r="AC219" s="657" t="s">
        <v>407</v>
      </c>
      <c r="AD219" s="657"/>
      <c r="AE219" s="264" t="str">
        <f>IF(ISBLANK($AE$131),"",$AE$131)</f>
        <v/>
      </c>
      <c r="AF219" s="261"/>
      <c r="AG219" s="261"/>
      <c r="AH219" s="261"/>
      <c r="AI219" s="262"/>
      <c r="AJ219" s="262"/>
      <c r="AK219" s="262"/>
      <c r="AL219" s="262"/>
      <c r="AM219" s="262"/>
      <c r="AN219" s="262"/>
      <c r="AO219" s="262"/>
      <c r="AP219" s="262"/>
      <c r="AQ219" s="261"/>
      <c r="AR219" s="261"/>
      <c r="AS219" s="261"/>
      <c r="AT219" s="261"/>
      <c r="AU219" s="261"/>
      <c r="AV219" s="261"/>
      <c r="AW219" s="261"/>
      <c r="AX219" s="261"/>
      <c r="AY219" s="261"/>
      <c r="AZ219" s="261"/>
      <c r="BA219" s="263"/>
    </row>
    <row r="220" spans="1:53" x14ac:dyDescent="0.35">
      <c r="A220" s="34"/>
      <c r="B220" s="356" t="s">
        <v>413</v>
      </c>
      <c r="Z220" s="35"/>
      <c r="AA220" s="28"/>
      <c r="AB220" s="34"/>
      <c r="AC220" s="356" t="s">
        <v>413</v>
      </c>
      <c r="AD220" s="10"/>
      <c r="AI220" s="8"/>
      <c r="AJ220" s="8"/>
      <c r="AK220" s="8"/>
      <c r="AL220" s="8"/>
      <c r="AM220" s="8"/>
      <c r="AN220" s="8"/>
      <c r="AO220" s="8"/>
      <c r="AP220" s="8"/>
      <c r="BA220" s="35"/>
    </row>
    <row r="221" spans="1:53" ht="29" x14ac:dyDescent="0.35">
      <c r="A221" s="34"/>
      <c r="C221" s="348" t="s">
        <v>11</v>
      </c>
      <c r="D221" s="317" t="s">
        <v>392</v>
      </c>
      <c r="E221" s="318" t="s">
        <v>393</v>
      </c>
      <c r="Z221" s="35"/>
      <c r="AA221" s="28"/>
      <c r="AB221" s="34"/>
      <c r="AC221" s="15"/>
      <c r="AD221" s="348" t="s">
        <v>11</v>
      </c>
      <c r="AE221" s="317" t="s">
        <v>392</v>
      </c>
      <c r="AF221" s="318" t="s">
        <v>393</v>
      </c>
      <c r="AI221" s="8"/>
      <c r="AJ221" s="8"/>
      <c r="AK221" s="8"/>
      <c r="AL221" s="8"/>
      <c r="AM221" s="8"/>
      <c r="AN221" s="8"/>
      <c r="AO221" s="8"/>
      <c r="AP221" s="8"/>
      <c r="BA221" s="35"/>
    </row>
    <row r="222" spans="1:53" x14ac:dyDescent="0.35">
      <c r="A222" s="34"/>
      <c r="C222" s="325" t="s">
        <v>394</v>
      </c>
      <c r="D222" s="324">
        <f>SUM(D224:D231)</f>
        <v>0</v>
      </c>
      <c r="E222" s="324" t="str">
        <f>IFERROR((D222*1000)/INDEX(Tab_Gliederungselemente[],MATCH($D$131,Tab_Gliederungselemente[Bezeichnung Gliederungselement],0),3),"k.A.")</f>
        <v>k.A.</v>
      </c>
      <c r="Z222" s="35"/>
      <c r="AA222" s="28"/>
      <c r="AB222" s="34"/>
      <c r="AC222" s="15"/>
      <c r="AD222" s="325" t="s">
        <v>394</v>
      </c>
      <c r="AE222" s="324">
        <f>SUM(AE224:AE231)</f>
        <v>0</v>
      </c>
      <c r="AF222" s="324" t="str">
        <f>IFERROR((AE222*1000)/INDEX(Tab_Gliederungselemente[],MATCH($AE$131,Tab_Gliederungselemente[Bezeichnung Gliederungselement],0),3),"k.A.")</f>
        <v>k.A.</v>
      </c>
      <c r="AI222" s="8"/>
      <c r="AJ222" s="8"/>
      <c r="AK222" s="8"/>
      <c r="AL222" s="8"/>
      <c r="AM222" s="8"/>
      <c r="AN222" s="8"/>
      <c r="AO222" s="8"/>
      <c r="AP222" s="8"/>
      <c r="BA222" s="35"/>
    </row>
    <row r="223" spans="1:53" ht="29" x14ac:dyDescent="0.35">
      <c r="A223" s="34"/>
      <c r="C223" s="327" t="s">
        <v>395</v>
      </c>
      <c r="D223" s="328" t="s">
        <v>392</v>
      </c>
      <c r="E223" s="332" t="s">
        <v>396</v>
      </c>
      <c r="Z223" s="35"/>
      <c r="AA223" s="28"/>
      <c r="AB223" s="34"/>
      <c r="AC223" s="15"/>
      <c r="AD223" s="327" t="s">
        <v>395</v>
      </c>
      <c r="AE223" s="328" t="s">
        <v>392</v>
      </c>
      <c r="AF223" s="332" t="s">
        <v>396</v>
      </c>
      <c r="AI223" s="8"/>
      <c r="AJ223" s="8"/>
      <c r="AK223" s="8"/>
      <c r="AL223" s="8"/>
      <c r="AM223" s="8"/>
      <c r="AN223" s="8"/>
      <c r="AO223" s="8"/>
      <c r="AP223" s="8"/>
      <c r="BA223" s="35"/>
    </row>
    <row r="224" spans="1:53" x14ac:dyDescent="0.35">
      <c r="A224" s="34"/>
      <c r="C224" s="329" t="s">
        <v>397</v>
      </c>
      <c r="D224" s="344">
        <f>((SUMIFS(Wärme[Wert 
(Zahl)],Wärme[Emissionsquelle/Aktivität (Dropdown)],Emissionsfaktoren!$E$9,Wärme[Zuordnung Gliederungselement (Dropdown)],Ergebnisse!$D$131)*Emissionsfaktoren!$AD$9)+(SUMIFS(Wärme[Wert 
(Zahl)],Wärme[Emissionsquelle/Aktivität (Dropdown)],Emissionsfaktoren!$E$10,Wärme[Zuordnung Gliederungselement (Dropdown)],Ergebnisse!$D$131)*Emissionsfaktoren!$AD$10))/1000</f>
        <v>0</v>
      </c>
      <c r="E224" s="342">
        <f>IF(D224=0,0,IFERROR(D224/D$222,NA()))</f>
        <v>0</v>
      </c>
      <c r="Z224" s="35"/>
      <c r="AA224" s="28"/>
      <c r="AB224" s="34"/>
      <c r="AC224" s="15"/>
      <c r="AD224" s="329" t="s">
        <v>397</v>
      </c>
      <c r="AE224" s="344">
        <f>((SUMIFS(Wärme[Wert 
(Zahl)],Wärme[Emissionsquelle/Aktivität (Dropdown)],Emissionsfaktoren!$E$9,Wärme[Zuordnung Gliederungselement (Dropdown)],Ergebnisse!$AE$131)*Emissionsfaktoren!$AD$9)+(SUMIFS(Wärme[Wert 
(Zahl)],Wärme[Emissionsquelle/Aktivität (Dropdown)],Emissionsfaktoren!$E$10,Wärme[Zuordnung Gliederungselement (Dropdown)],Ergebnisse!$AE$131)*Emissionsfaktoren!$AD$10))/1000</f>
        <v>0</v>
      </c>
      <c r="AF224" s="342">
        <f>IF(AE224=0,0,IFERROR(AE224/AE$222,NA()))</f>
        <v>0</v>
      </c>
      <c r="AI224" s="8"/>
      <c r="AJ224" s="8"/>
      <c r="AK224" s="8"/>
      <c r="AL224" s="8"/>
      <c r="AM224" s="8"/>
      <c r="AN224" s="8"/>
      <c r="AO224" s="8"/>
      <c r="AP224" s="8"/>
      <c r="BA224" s="35"/>
    </row>
    <row r="225" spans="1:53" x14ac:dyDescent="0.35">
      <c r="A225" s="34"/>
      <c r="C225" s="329" t="s">
        <v>398</v>
      </c>
      <c r="D225" s="344">
        <f>((SUMIFS(Wärme[Wert 
(Zahl)],Wärme[Emissionsquelle/Aktivität (Dropdown)],Emissionsfaktoren!$E$11,Wärme[Zuordnung Gliederungselement (Dropdown)],Ergebnisse!$D$131)*Emissionsfaktoren!$AD$11)+(SUMIFS(Wärme[Wert 
(Zahl)],Wärme[Emissionsquelle/Aktivität (Dropdown)],Emissionsfaktoren!$E$12,Wärme[Zuordnung Gliederungselement (Dropdown)],Ergebnisse!$D$131)*Emissionsfaktoren!$AD$12))/1000</f>
        <v>0</v>
      </c>
      <c r="E225" s="342">
        <f t="shared" ref="E225:E231" si="35">IF(D225=0,0,IFERROR(D225/D$222,NA()))</f>
        <v>0</v>
      </c>
      <c r="Z225" s="35"/>
      <c r="AA225" s="28"/>
      <c r="AB225" s="34"/>
      <c r="AC225" s="15"/>
      <c r="AD225" s="329" t="s">
        <v>398</v>
      </c>
      <c r="AE225" s="344">
        <f>((SUMIFS(Wärme[Wert 
(Zahl)],Wärme[Emissionsquelle/Aktivität (Dropdown)],Emissionsfaktoren!$E$11,Wärme[Zuordnung Gliederungselement (Dropdown)],Ergebnisse!$AE$131)*Emissionsfaktoren!$AD$11)+(SUMIFS(Wärme[Wert 
(Zahl)],Wärme[Emissionsquelle/Aktivität (Dropdown)],Emissionsfaktoren!$E$12,Wärme[Zuordnung Gliederungselement (Dropdown)],Ergebnisse!$AE$131)*Emissionsfaktoren!$AD$12))/1000</f>
        <v>0</v>
      </c>
      <c r="AF225" s="342">
        <f t="shared" ref="AF225:AF231" si="36">IF(AE225=0,0,IFERROR(AE225/AE$222,NA()))</f>
        <v>0</v>
      </c>
      <c r="AI225" s="8"/>
      <c r="AJ225" s="8"/>
      <c r="AK225" s="8"/>
      <c r="AL225" s="8"/>
      <c r="AM225" s="8"/>
      <c r="AN225" s="8"/>
      <c r="AO225" s="8"/>
      <c r="AP225" s="8"/>
      <c r="BA225" s="35"/>
    </row>
    <row r="226" spans="1:53" x14ac:dyDescent="0.35">
      <c r="A226" s="34"/>
      <c r="C226" s="329" t="s">
        <v>399</v>
      </c>
      <c r="D226" s="344">
        <f>((SUMIFS(Wärme[Wert 
(Zahl)],Wärme[Emissionsquelle/Aktivität (Dropdown)],Emissionsfaktoren!$E$13,Wärme[Zuordnung Gliederungselement (Dropdown)],Ergebnisse!$D$131)*Emissionsfaktoren!$AD$13)+(SUMIFS(Wärme[Wert 
(Zahl)],Wärme[Emissionsquelle/Aktivität (Dropdown)],Emissionsfaktoren!$E$14,Wärme[Zuordnung Gliederungselement (Dropdown)],Ergebnisse!$D$131)*Emissionsfaktoren!$AD$14))/1000</f>
        <v>0</v>
      </c>
      <c r="E226" s="342">
        <f t="shared" si="35"/>
        <v>0</v>
      </c>
      <c r="Z226" s="35"/>
      <c r="AA226" s="28"/>
      <c r="AB226" s="34"/>
      <c r="AC226" s="15"/>
      <c r="AD226" s="329" t="s">
        <v>399</v>
      </c>
      <c r="AE226" s="344">
        <f>((SUMIFS(Wärme[Wert 
(Zahl)],Wärme[Emissionsquelle/Aktivität (Dropdown)],Emissionsfaktoren!$E$13,Wärme[Zuordnung Gliederungselement (Dropdown)],Ergebnisse!$AE$131)*Emissionsfaktoren!$AD$13)+(SUMIFS(Wärme[Wert 
(Zahl)],Wärme[Emissionsquelle/Aktivität (Dropdown)],Emissionsfaktoren!$E$14,Wärme[Zuordnung Gliederungselement (Dropdown)],Ergebnisse!$AE$131)*Emissionsfaktoren!$AD$14))/1000</f>
        <v>0</v>
      </c>
      <c r="AF226" s="342">
        <f t="shared" si="36"/>
        <v>0</v>
      </c>
      <c r="AI226" s="8"/>
      <c r="AJ226" s="8"/>
      <c r="AK226" s="8"/>
      <c r="AL226" s="8"/>
      <c r="AM226" s="8"/>
      <c r="AN226" s="8"/>
      <c r="AO226" s="8"/>
      <c r="AP226" s="8"/>
      <c r="BA226" s="35"/>
    </row>
    <row r="227" spans="1:53" x14ac:dyDescent="0.35">
      <c r="A227" s="34"/>
      <c r="C227" s="329" t="s">
        <v>400</v>
      </c>
      <c r="D227" s="344">
        <f>((SUMIFS(Wärme[Wert 
(Zahl)],Wärme[Emissionsquelle/Aktivität (Dropdown)],Emissionsfaktoren!$E$15,Wärme[Zuordnung Gliederungselement (Dropdown)],Ergebnisse!$D$131)*Emissionsfaktoren!$AD$15)+(SUMIFS(Wärme[Wert 
(Zahl)],Wärme[Emissionsquelle/Aktivität (Dropdown)],Emissionsfaktoren!$E$16,Wärme[Zuordnung Gliederungselement (Dropdown)],Ergebnisse!$D$131)*Emissionsfaktoren!$AD$16))/1000</f>
        <v>0</v>
      </c>
      <c r="E227" s="342">
        <f t="shared" si="35"/>
        <v>0</v>
      </c>
      <c r="Z227" s="35"/>
      <c r="AA227" s="28"/>
      <c r="AB227" s="34"/>
      <c r="AC227" s="15"/>
      <c r="AD227" s="329" t="s">
        <v>400</v>
      </c>
      <c r="AE227" s="344">
        <f>((SUMIFS(Wärme[Wert 
(Zahl)],Wärme[Emissionsquelle/Aktivität (Dropdown)],Emissionsfaktoren!$E$15,Wärme[Zuordnung Gliederungselement (Dropdown)],Ergebnisse!$AE$131)*Emissionsfaktoren!$AD$15)+(SUMIFS(Wärme[Wert 
(Zahl)],Wärme[Emissionsquelle/Aktivität (Dropdown)],Emissionsfaktoren!$E$16,Wärme[Zuordnung Gliederungselement (Dropdown)],Ergebnisse!$AE$131)*Emissionsfaktoren!$AD$16))/1000</f>
        <v>0</v>
      </c>
      <c r="AF227" s="342">
        <f t="shared" si="36"/>
        <v>0</v>
      </c>
      <c r="AI227" s="8"/>
      <c r="AJ227" s="8"/>
      <c r="AK227" s="8"/>
      <c r="AL227" s="8"/>
      <c r="AM227" s="8"/>
      <c r="AN227" s="8"/>
      <c r="AO227" s="8"/>
      <c r="AP227" s="8"/>
      <c r="BA227" s="35"/>
    </row>
    <row r="228" spans="1:53" x14ac:dyDescent="0.35">
      <c r="A228" s="34"/>
      <c r="C228" s="330" t="s">
        <v>45</v>
      </c>
      <c r="D228" s="345">
        <f>((SUMIFS(Wärme[Wert 
(Zahl)],Wärme[Emissionsquelle/Aktivität (Dropdown)],Emissionsfaktoren!$E$17,Wärme[Zuordnung Gliederungselement (Dropdown)],Ergebnisse!$D$131)*Emissionsfaktoren!$AD$17)+(SUMIFS(Wärme[Wert 
(Zahl)],Wärme[Emissionsquelle/Aktivität (Dropdown)],Emissionsfaktoren!$E$18,Wärme[Zuordnung Gliederungselement (Dropdown)],Ergebnisse!$D$131)*Emissionsfaktoren!$AD$18))/1000</f>
        <v>0</v>
      </c>
      <c r="E228" s="342">
        <f t="shared" si="35"/>
        <v>0</v>
      </c>
      <c r="Z228" s="35"/>
      <c r="AA228" s="28"/>
      <c r="AB228" s="34"/>
      <c r="AC228" s="15"/>
      <c r="AD228" s="330" t="s">
        <v>45</v>
      </c>
      <c r="AE228" s="345">
        <f>((SUMIFS(Wärme[Wert 
(Zahl)],Wärme[Emissionsquelle/Aktivität (Dropdown)],Emissionsfaktoren!$E$17,Wärme[Zuordnung Gliederungselement (Dropdown)],Ergebnisse!$AE$131)*Emissionsfaktoren!$AD$17)+(SUMIFS(Wärme[Wert 
(Zahl)],Wärme[Emissionsquelle/Aktivität (Dropdown)],Emissionsfaktoren!$E$18,Wärme[Zuordnung Gliederungselement (Dropdown)],Ergebnisse!$AE$131)*Emissionsfaktoren!$AD$18))/1000</f>
        <v>0</v>
      </c>
      <c r="AF228" s="342">
        <f t="shared" si="36"/>
        <v>0</v>
      </c>
      <c r="AI228" s="8"/>
      <c r="AJ228" s="8"/>
      <c r="AK228" s="8"/>
      <c r="AL228" s="8"/>
      <c r="AM228" s="8"/>
      <c r="AN228" s="8"/>
      <c r="AO228" s="8"/>
      <c r="AP228" s="8"/>
      <c r="BA228" s="35"/>
    </row>
    <row r="229" spans="1:53" x14ac:dyDescent="0.35">
      <c r="A229" s="34"/>
      <c r="C229" s="329" t="s">
        <v>401</v>
      </c>
      <c r="D229" s="344">
        <f>((SUMIFS(Wärme[Wert 
(Zahl)],Wärme[Emissionsquelle/Aktivität (Dropdown)],Emissionsfaktoren!$E$19,Wärme[Zuordnung Gliederungselement (Dropdown)],Ergebnisse!$D$131)*Emissionsfaktoren!$AD$19)+(SUMIFS(Wärme[Wert 
(Zahl)],Wärme[Emissionsquelle/Aktivität (Dropdown)],Emissionsfaktoren!$E$20,Wärme[Zuordnung Gliederungselement (Dropdown)],Ergebnisse!$D$131)*Emissionsfaktoren!$AD$20))/1000</f>
        <v>0</v>
      </c>
      <c r="E229" s="342">
        <f t="shared" si="35"/>
        <v>0</v>
      </c>
      <c r="Z229" s="35"/>
      <c r="AA229" s="28"/>
      <c r="AB229" s="34"/>
      <c r="AC229" s="15"/>
      <c r="AD229" s="329" t="s">
        <v>401</v>
      </c>
      <c r="AE229" s="344">
        <f>((SUMIFS(Wärme[Wert 
(Zahl)],Wärme[Emissionsquelle/Aktivität (Dropdown)],Emissionsfaktoren!$E$19,Wärme[Zuordnung Gliederungselement (Dropdown)],Ergebnisse!$AE$131)*Emissionsfaktoren!$AD$19)+(SUMIFS(Wärme[Wert 
(Zahl)],Wärme[Emissionsquelle/Aktivität (Dropdown)],Emissionsfaktoren!$E$20,Wärme[Zuordnung Gliederungselement (Dropdown)],Ergebnisse!$AE$131)*Emissionsfaktoren!$AD$20))/1000</f>
        <v>0</v>
      </c>
      <c r="AF229" s="342">
        <f t="shared" si="36"/>
        <v>0</v>
      </c>
      <c r="AI229" s="8"/>
      <c r="AJ229" s="8"/>
      <c r="AK229" s="8"/>
      <c r="AL229" s="8"/>
      <c r="AM229" s="8"/>
      <c r="AN229" s="8"/>
      <c r="AO229" s="8"/>
      <c r="AP229" s="8"/>
      <c r="BA229" s="35"/>
    </row>
    <row r="230" spans="1:53" x14ac:dyDescent="0.35">
      <c r="A230" s="34"/>
      <c r="C230" s="329" t="s">
        <v>22</v>
      </c>
      <c r="D230" s="344">
        <f>(SUMIFS(Wärme[Wert 
(Zahl)],Wärme[Emissionsquelle/Aktivität (Dropdown)],Emissionsfaktoren!$E$21,Wärme[Zuordnung Gliederungselement (Dropdown)],Ergebnisse!$D$131)*Emissionsfaktoren!$AD$21)/1000</f>
        <v>0</v>
      </c>
      <c r="E230" s="342">
        <f t="shared" si="35"/>
        <v>0</v>
      </c>
      <c r="Z230" s="35"/>
      <c r="AA230" s="28"/>
      <c r="AB230" s="34"/>
      <c r="AC230" s="15"/>
      <c r="AD230" s="329" t="s">
        <v>22</v>
      </c>
      <c r="AE230" s="344">
        <f>(SUMIFS(Wärme[Wert 
(Zahl)],Wärme[Emissionsquelle/Aktivität (Dropdown)],Emissionsfaktoren!$E$21,Wärme[Zuordnung Gliederungselement (Dropdown)],Ergebnisse!$AE$131)*Emissionsfaktoren!$AD$21)/1000</f>
        <v>0</v>
      </c>
      <c r="AF230" s="342">
        <f t="shared" si="36"/>
        <v>0</v>
      </c>
      <c r="AI230" s="8"/>
      <c r="AJ230" s="8"/>
      <c r="AK230" s="8"/>
      <c r="AL230" s="8"/>
      <c r="AM230" s="8"/>
      <c r="AN230" s="8"/>
      <c r="AO230" s="8"/>
      <c r="AP230" s="8"/>
      <c r="BA230" s="35"/>
    </row>
    <row r="231" spans="1:53" x14ac:dyDescent="0.35">
      <c r="A231" s="34"/>
      <c r="C231" s="329" t="s">
        <v>23</v>
      </c>
      <c r="D231" s="344">
        <f>(SUMIFS(Wärme[Wert 
(Zahl)],Wärme[Emissionsquelle/Aktivität (Dropdown)],Emissionsfaktoren!$E$22,Wärme[Zuordnung Gliederungselement (Dropdown)],Ergebnisse!$D$131)*Emissionsfaktoren!$AD$22)/1000</f>
        <v>0</v>
      </c>
      <c r="E231" s="342">
        <f t="shared" si="35"/>
        <v>0</v>
      </c>
      <c r="Z231" s="35"/>
      <c r="AA231" s="28"/>
      <c r="AB231" s="34"/>
      <c r="AC231" s="15"/>
      <c r="AD231" s="329" t="s">
        <v>23</v>
      </c>
      <c r="AE231" s="344">
        <f>(SUMIFS(Wärme[Wert 
(Zahl)],Wärme[Emissionsquelle/Aktivität (Dropdown)],Emissionsfaktoren!$E$22,Wärme[Zuordnung Gliederungselement (Dropdown)],Ergebnisse!$AE$131)*Emissionsfaktoren!$AD$22)/1000</f>
        <v>0</v>
      </c>
      <c r="AF231" s="342">
        <f t="shared" si="36"/>
        <v>0</v>
      </c>
      <c r="AI231" s="8"/>
      <c r="AJ231" s="8"/>
      <c r="AK231" s="8"/>
      <c r="AL231" s="8"/>
      <c r="AM231" s="8"/>
      <c r="AN231" s="8"/>
      <c r="AO231" s="8"/>
      <c r="AP231" s="8"/>
      <c r="BA231" s="35"/>
    </row>
    <row r="232" spans="1:53" x14ac:dyDescent="0.35">
      <c r="A232" s="34"/>
      <c r="C232" s="171"/>
      <c r="D232" s="170"/>
      <c r="E232" s="315"/>
      <c r="Z232" s="35"/>
      <c r="AA232" s="28"/>
      <c r="AB232" s="34"/>
      <c r="AC232" s="15"/>
      <c r="AD232" s="171"/>
      <c r="AE232" s="170"/>
      <c r="AF232" s="315"/>
      <c r="AI232" s="8"/>
      <c r="AJ232" s="8"/>
      <c r="AK232" s="8"/>
      <c r="AL232" s="8"/>
      <c r="AM232" s="8"/>
      <c r="AN232" s="8"/>
      <c r="AO232" s="8"/>
      <c r="AP232" s="8"/>
      <c r="BA232" s="35"/>
    </row>
    <row r="233" spans="1:53" ht="29" x14ac:dyDescent="0.35">
      <c r="A233" s="34"/>
      <c r="C233" s="348" t="s">
        <v>15</v>
      </c>
      <c r="D233" s="319" t="s">
        <v>392</v>
      </c>
      <c r="E233" s="320" t="s">
        <v>393</v>
      </c>
      <c r="Z233" s="35"/>
      <c r="AA233" s="28"/>
      <c r="AB233" s="34"/>
      <c r="AC233" s="15"/>
      <c r="AD233" s="348" t="s">
        <v>15</v>
      </c>
      <c r="AE233" s="319" t="s">
        <v>392</v>
      </c>
      <c r="AF233" s="320" t="s">
        <v>393</v>
      </c>
      <c r="AI233" s="8"/>
      <c r="AJ233" s="8"/>
      <c r="AK233" s="8"/>
      <c r="AL233" s="8"/>
      <c r="AM233" s="8"/>
      <c r="AN233" s="8"/>
      <c r="AO233" s="8"/>
      <c r="AP233" s="8"/>
      <c r="BA233" s="35"/>
    </row>
    <row r="234" spans="1:53" x14ac:dyDescent="0.35">
      <c r="A234" s="34"/>
      <c r="C234" s="326" t="s">
        <v>408</v>
      </c>
      <c r="D234" s="298">
        <f>SUM(D236:D236)</f>
        <v>0</v>
      </c>
      <c r="E234" s="298" t="str">
        <f>IFERROR((D234*1000)/INDEX(Tab_Gliederungselemente[],MATCH($D$131,Tab_Gliederungselemente[Bezeichnung Gliederungselement],0),3),"k.A.")</f>
        <v>k.A.</v>
      </c>
      <c r="Z234" s="35"/>
      <c r="AA234" s="28"/>
      <c r="AB234" s="34"/>
      <c r="AC234" s="15"/>
      <c r="AD234" s="326" t="s">
        <v>408</v>
      </c>
      <c r="AE234" s="298">
        <f>SUM(AE236:AE236)</f>
        <v>0</v>
      </c>
      <c r="AF234" s="298" t="str">
        <f>IFERROR((AE234*1000)/INDEX(Tab_Gliederungselemente[],MATCH($AE$131,Tab_Gliederungselemente[Bezeichnung Gliederungselement],0),3),"k.A.")</f>
        <v>k.A.</v>
      </c>
      <c r="AI234" s="8"/>
      <c r="AJ234" s="8"/>
      <c r="AK234" s="8"/>
      <c r="AL234" s="8"/>
      <c r="AM234" s="8"/>
      <c r="AN234" s="8"/>
      <c r="AO234" s="8"/>
      <c r="AP234" s="8"/>
      <c r="BA234" s="35"/>
    </row>
    <row r="235" spans="1:53" ht="29" x14ac:dyDescent="0.35">
      <c r="A235" s="34"/>
      <c r="C235" s="172" t="s">
        <v>395</v>
      </c>
      <c r="D235" s="319" t="s">
        <v>392</v>
      </c>
      <c r="E235" s="320" t="s">
        <v>396</v>
      </c>
      <c r="Z235" s="35"/>
      <c r="AA235" s="28"/>
      <c r="AB235" s="34"/>
      <c r="AC235" s="15"/>
      <c r="AD235" s="172" t="s">
        <v>395</v>
      </c>
      <c r="AE235" s="319" t="s">
        <v>392</v>
      </c>
      <c r="AF235" s="320" t="s">
        <v>396</v>
      </c>
      <c r="AI235" s="8"/>
      <c r="AJ235" s="8"/>
      <c r="AK235" s="8"/>
      <c r="AL235" s="8"/>
      <c r="AM235" s="8"/>
      <c r="AN235" s="8"/>
      <c r="AO235" s="8"/>
      <c r="AP235" s="8"/>
      <c r="BA235" s="35"/>
    </row>
    <row r="236" spans="1:53" x14ac:dyDescent="0.35">
      <c r="A236" s="34"/>
      <c r="C236" s="322" t="s">
        <v>537</v>
      </c>
      <c r="D236" s="346">
        <f>SUMIFS(Strom[Wert 
(Zahl)],Strom[Emissionsquelle/Aktivität (Dropdown)], Emissionsfaktoren!$E$35,Strom[Zuordnung Gliederungselement (Dropdown)],Ergebnisse!$D$131)/1000</f>
        <v>0</v>
      </c>
      <c r="E236" s="343">
        <f>IF(D236=0,0,IFERROR(D236/D$234,NA()))</f>
        <v>0</v>
      </c>
      <c r="Z236" s="35"/>
      <c r="AA236" s="28"/>
      <c r="AB236" s="34"/>
      <c r="AC236" s="15"/>
      <c r="AD236" s="322" t="s">
        <v>537</v>
      </c>
      <c r="AE236" s="346">
        <f>SUMIFS(Strom[Wert 
(Zahl)],Strom[Emissionsquelle/Aktivität (Dropdown)], Emissionsfaktoren!$E$35,Strom[Zuordnung Gliederungselement (Dropdown)],Ergebnisse!$AE$131)/1000</f>
        <v>0</v>
      </c>
      <c r="AF236" s="343">
        <f>IF(AE236=0,0,IFERROR(AE236/AE$234,NA()))</f>
        <v>0</v>
      </c>
      <c r="AI236" s="8"/>
      <c r="AJ236" s="8"/>
      <c r="AK236" s="8"/>
      <c r="AL236" s="8"/>
      <c r="AM236" s="8"/>
      <c r="AN236" s="8"/>
      <c r="AO236" s="8"/>
      <c r="AP236" s="8"/>
      <c r="BA236" s="35"/>
    </row>
    <row r="237" spans="1:53" ht="14.5" customHeight="1" x14ac:dyDescent="0.35">
      <c r="A237" s="34"/>
      <c r="C237" s="316"/>
      <c r="D237" s="170"/>
      <c r="E237" s="323"/>
      <c r="Z237" s="35"/>
      <c r="AA237" s="28"/>
      <c r="AB237" s="34"/>
      <c r="AC237" s="15"/>
      <c r="AD237" s="316"/>
      <c r="AE237" s="170"/>
      <c r="AF237" s="323"/>
      <c r="AI237" s="8"/>
      <c r="AJ237" s="8"/>
      <c r="AK237" s="8"/>
      <c r="AL237" s="8"/>
      <c r="AM237" s="8"/>
      <c r="AN237" s="8"/>
      <c r="AO237" s="8"/>
      <c r="AP237" s="8"/>
      <c r="BA237" s="35"/>
    </row>
    <row r="238" spans="1:53" ht="29" x14ac:dyDescent="0.35">
      <c r="A238" s="34"/>
      <c r="C238" s="348" t="s">
        <v>15</v>
      </c>
      <c r="D238" s="319" t="s">
        <v>392</v>
      </c>
      <c r="E238" s="320" t="s">
        <v>393</v>
      </c>
      <c r="Z238" s="35"/>
      <c r="AA238" s="28"/>
      <c r="AB238" s="34"/>
      <c r="AC238" s="15"/>
      <c r="AD238" s="348" t="s">
        <v>15</v>
      </c>
      <c r="AE238" s="319" t="s">
        <v>392</v>
      </c>
      <c r="AF238" s="320" t="s">
        <v>393</v>
      </c>
      <c r="AI238" s="8"/>
      <c r="AJ238" s="8"/>
      <c r="AK238" s="8"/>
      <c r="AL238" s="8"/>
      <c r="AM238" s="8"/>
      <c r="AN238" s="8"/>
      <c r="AO238" s="8"/>
      <c r="AP238" s="8"/>
      <c r="BA238" s="35"/>
    </row>
    <row r="239" spans="1:53" x14ac:dyDescent="0.35">
      <c r="A239" s="34"/>
      <c r="C239" s="326" t="s">
        <v>402</v>
      </c>
      <c r="D239" s="298">
        <f>SUM(D241:D242)</f>
        <v>0</v>
      </c>
      <c r="E239" s="298" t="str">
        <f>IFERROR((D239*1000)/INDEX(Tab_Gliederungselemente[],MATCH($D$131,Tab_Gliederungselemente[Bezeichnung Gliederungselement],0),3),"k.A.")</f>
        <v>k.A.</v>
      </c>
      <c r="Z239" s="35"/>
      <c r="AA239" s="28"/>
      <c r="AB239" s="34"/>
      <c r="AC239" s="15"/>
      <c r="AD239" s="326" t="s">
        <v>402</v>
      </c>
      <c r="AE239" s="298">
        <f>SUM(AE241:AE242)</f>
        <v>0</v>
      </c>
      <c r="AF239" s="298" t="str">
        <f>IFERROR((AE239*1000)/INDEX(Tab_Gliederungselemente[],MATCH($AE$131,Tab_Gliederungselemente[Bezeichnung Gliederungselement],0),3),"k.A.")</f>
        <v>k.A.</v>
      </c>
      <c r="AI239" s="8"/>
      <c r="AJ239" s="8"/>
      <c r="AK239" s="8"/>
      <c r="AL239" s="8"/>
      <c r="AM239" s="8"/>
      <c r="AN239" s="8"/>
      <c r="AO239" s="8"/>
      <c r="AP239" s="8"/>
      <c r="BA239" s="35"/>
    </row>
    <row r="240" spans="1:53" ht="29" x14ac:dyDescent="0.35">
      <c r="A240" s="34"/>
      <c r="C240" s="172" t="s">
        <v>395</v>
      </c>
      <c r="D240" s="319" t="s">
        <v>392</v>
      </c>
      <c r="E240" s="320" t="s">
        <v>396</v>
      </c>
      <c r="Z240" s="35"/>
      <c r="AA240" s="28"/>
      <c r="AB240" s="34"/>
      <c r="AC240" s="15"/>
      <c r="AD240" s="172" t="s">
        <v>395</v>
      </c>
      <c r="AE240" s="319" t="s">
        <v>392</v>
      </c>
      <c r="AF240" s="320" t="s">
        <v>396</v>
      </c>
      <c r="AI240" s="8"/>
      <c r="AJ240" s="8"/>
      <c r="AK240" s="8"/>
      <c r="AL240" s="8"/>
      <c r="AM240" s="8"/>
      <c r="AN240" s="8"/>
      <c r="AO240" s="8"/>
      <c r="AP240" s="8"/>
      <c r="BA240" s="35"/>
    </row>
    <row r="241" spans="1:53" x14ac:dyDescent="0.35">
      <c r="A241" s="34"/>
      <c r="C241" s="321" t="s">
        <v>126</v>
      </c>
      <c r="D241" s="346">
        <f>SUMIFS(Strom[Wert 
(Zahl)],Strom[Emissionsquelle/Aktivität (Dropdown)], Emissionsfaktoren!$E$37,Strom[Zuordnung Gliederungselement (Dropdown)],Ergebnisse!$D$131)*Emissionsfaktoren!$AD$37/1000</f>
        <v>0</v>
      </c>
      <c r="E241" s="343">
        <f>IF(D241=0,0,IFERROR(D241/D$239,NA()))</f>
        <v>0</v>
      </c>
      <c r="Z241" s="35"/>
      <c r="AA241" s="28"/>
      <c r="AB241" s="34"/>
      <c r="AC241" s="15"/>
      <c r="AD241" s="321" t="s">
        <v>126</v>
      </c>
      <c r="AE241" s="346">
        <f>SUMIFS(Strom[Wert 
(Zahl)],Strom[Emissionsquelle/Aktivität (Dropdown)], Emissionsfaktoren!$E$37,Strom[Zuordnung Gliederungselement (Dropdown)],Ergebnisse!$AE$131)*Emissionsfaktoren!$AD$37/1000</f>
        <v>0</v>
      </c>
      <c r="AF241" s="343">
        <f>IF(AE241=0,0,IFERROR(AE241/AE$239,NA()))</f>
        <v>0</v>
      </c>
      <c r="AI241" s="8"/>
      <c r="AJ241" s="8"/>
      <c r="AK241" s="8"/>
      <c r="AL241" s="8"/>
      <c r="AM241" s="8"/>
      <c r="AN241" s="8"/>
      <c r="AO241" s="8"/>
      <c r="AP241" s="8"/>
      <c r="BA241" s="35"/>
    </row>
    <row r="242" spans="1:53" x14ac:dyDescent="0.35">
      <c r="A242" s="34"/>
      <c r="C242" s="321" t="s">
        <v>105</v>
      </c>
      <c r="D242" s="346">
        <f>SUMIFS(Strom[Wert 
(Zahl)],Strom[Emissionsquelle/Aktivität (Dropdown)], Emissionsfaktoren!$E$36,Strom[Zuordnung Gliederungselement (Dropdown)],Ergebnisse!$D$131)*Emissionsfaktoren!$AD$36/1000</f>
        <v>0</v>
      </c>
      <c r="E242" s="343">
        <f>IF(D242=0,0,IFERROR(D242/D$122,NA()))</f>
        <v>0</v>
      </c>
      <c r="Z242" s="35"/>
      <c r="AA242" s="28"/>
      <c r="AB242" s="34"/>
      <c r="AC242" s="15"/>
      <c r="AD242" s="321" t="s">
        <v>105</v>
      </c>
      <c r="AE242" s="346">
        <f>SUMIFS(Strom[Wert 
(Zahl)],Strom[Emissionsquelle/Aktivität (Dropdown)], Emissionsfaktoren!$E$36,Strom[Zuordnung Gliederungselement (Dropdown)],Ergebnisse!$AE$131)*Emissionsfaktoren!$AD$36/1000</f>
        <v>0</v>
      </c>
      <c r="AF242" s="343">
        <f>IF(AE242=0,0,IFERROR(AE242/AE$122,NA()))</f>
        <v>0</v>
      </c>
      <c r="AI242" s="8"/>
      <c r="AJ242" s="8"/>
      <c r="AK242" s="8"/>
      <c r="AL242" s="8"/>
      <c r="AM242" s="8"/>
      <c r="AN242" s="8"/>
      <c r="AO242" s="8"/>
      <c r="AP242" s="8"/>
      <c r="BA242" s="35"/>
    </row>
    <row r="243" spans="1:53" x14ac:dyDescent="0.35">
      <c r="A243" s="34"/>
      <c r="Z243" s="35"/>
      <c r="AA243" s="28"/>
      <c r="AB243" s="34"/>
      <c r="AC243" s="15"/>
      <c r="AD243" s="10"/>
      <c r="AI243" s="8"/>
      <c r="AJ243" s="8"/>
      <c r="AK243" s="8"/>
      <c r="AL243" s="8"/>
      <c r="AM243" s="8"/>
      <c r="AN243" s="8"/>
      <c r="AO243" s="8"/>
      <c r="AP243" s="8"/>
      <c r="BA243" s="35"/>
    </row>
    <row r="244" spans="1:53" x14ac:dyDescent="0.35">
      <c r="A244" s="34"/>
      <c r="Z244" s="35"/>
      <c r="AA244" s="28"/>
      <c r="AB244" s="34"/>
      <c r="AC244" s="15"/>
      <c r="AD244" s="10"/>
      <c r="AI244" s="8"/>
      <c r="AJ244" s="8"/>
      <c r="AK244" s="8"/>
      <c r="AL244" s="8"/>
      <c r="AM244" s="8"/>
      <c r="AN244" s="8"/>
      <c r="AO244" s="8"/>
      <c r="AP244" s="8"/>
      <c r="BA244" s="35"/>
    </row>
    <row r="245" spans="1:53" ht="15" thickBot="1" x14ac:dyDescent="0.4">
      <c r="A245" s="43"/>
      <c r="B245" s="44"/>
      <c r="C245" s="45"/>
      <c r="D245" s="46"/>
      <c r="E245" s="46"/>
      <c r="F245" s="46"/>
      <c r="G245" s="46"/>
      <c r="H245" s="47"/>
      <c r="I245" s="47"/>
      <c r="J245" s="47"/>
      <c r="K245" s="47"/>
      <c r="L245" s="47"/>
      <c r="M245" s="47"/>
      <c r="N245" s="47"/>
      <c r="O245" s="47"/>
      <c r="P245" s="46"/>
      <c r="Q245" s="46"/>
      <c r="R245" s="46"/>
      <c r="S245" s="46"/>
      <c r="T245" s="46"/>
      <c r="U245" s="46"/>
      <c r="V245" s="46"/>
      <c r="W245" s="46"/>
      <c r="X245" s="46"/>
      <c r="Y245" s="46"/>
      <c r="Z245" s="48"/>
      <c r="AA245" s="425"/>
      <c r="AB245" s="43"/>
      <c r="AC245" s="44"/>
      <c r="AD245" s="45"/>
      <c r="AE245" s="46"/>
      <c r="AF245" s="46"/>
      <c r="AG245" s="46"/>
      <c r="AH245" s="46"/>
      <c r="AI245" s="47"/>
      <c r="AJ245" s="47"/>
      <c r="AK245" s="47"/>
      <c r="AL245" s="47"/>
      <c r="AM245" s="47"/>
      <c r="AN245" s="47"/>
      <c r="AO245" s="47"/>
      <c r="AP245" s="47"/>
      <c r="AQ245" s="46"/>
      <c r="AR245" s="46"/>
      <c r="AS245" s="46"/>
      <c r="AT245" s="46"/>
      <c r="AU245" s="46"/>
      <c r="AV245" s="46"/>
      <c r="AW245" s="46"/>
      <c r="AX245" s="46"/>
      <c r="AY245" s="46"/>
      <c r="AZ245" s="46"/>
      <c r="BA245" s="48"/>
    </row>
  </sheetData>
  <sheetProtection algorithmName="SHA-512" hashValue="Dhbj7IxKgl/1MhyJjXXM5Zu3fT1tpWRvtOs64G52wzmYx76xAF/j5aQV2ebLFhZ2efjKGKcNgUW9uwC55ZM54Q==" saltValue="HKDpGTxgVyIjElxtUOF7HA==" spinCount="100000" sheet="1" scenarios="1"/>
  <mergeCells count="77">
    <mergeCell ref="AC5:AD5"/>
    <mergeCell ref="AI5:AK5"/>
    <mergeCell ref="AC6:AD6"/>
    <mergeCell ref="AI6:AK6"/>
    <mergeCell ref="AE208:AF208"/>
    <mergeCell ref="AG208:AH208"/>
    <mergeCell ref="AI130:AO132"/>
    <mergeCell ref="AE131:AH131"/>
    <mergeCell ref="AE140:AF140"/>
    <mergeCell ref="AC29:AC37"/>
    <mergeCell ref="AC38:AC42"/>
    <mergeCell ref="AC82:AD83"/>
    <mergeCell ref="AE82:AE83"/>
    <mergeCell ref="AF82:AF83"/>
    <mergeCell ref="AE11:AH11"/>
    <mergeCell ref="AE20:AF20"/>
    <mergeCell ref="AC219:AD219"/>
    <mergeCell ref="AE3:AE4"/>
    <mergeCell ref="AG3:AH3"/>
    <mergeCell ref="AC4:AD4"/>
    <mergeCell ref="AC149:AC157"/>
    <mergeCell ref="AC158:AC162"/>
    <mergeCell ref="AC202:AD203"/>
    <mergeCell ref="AE202:AE203"/>
    <mergeCell ref="AF202:AF203"/>
    <mergeCell ref="AD141:AD144"/>
    <mergeCell ref="AE141:AF141"/>
    <mergeCell ref="AE142:AF142"/>
    <mergeCell ref="AE143:AF143"/>
    <mergeCell ref="AE144:AF144"/>
    <mergeCell ref="AE91:AF91"/>
    <mergeCell ref="AG91:AH91"/>
    <mergeCell ref="AD21:AD24"/>
    <mergeCell ref="AE21:AF21"/>
    <mergeCell ref="AE22:AF22"/>
    <mergeCell ref="AE23:AF23"/>
    <mergeCell ref="AE24:AF24"/>
    <mergeCell ref="D208:E208"/>
    <mergeCell ref="F208:G208"/>
    <mergeCell ref="B219:C219"/>
    <mergeCell ref="H130:N132"/>
    <mergeCell ref="B82:C83"/>
    <mergeCell ref="B149:B157"/>
    <mergeCell ref="B158:B162"/>
    <mergeCell ref="B202:C203"/>
    <mergeCell ref="D140:E140"/>
    <mergeCell ref="C141:C144"/>
    <mergeCell ref="D141:E141"/>
    <mergeCell ref="D142:E142"/>
    <mergeCell ref="D143:E143"/>
    <mergeCell ref="D144:E144"/>
    <mergeCell ref="D91:E91"/>
    <mergeCell ref="F91:G91"/>
    <mergeCell ref="D202:D203"/>
    <mergeCell ref="E202:E203"/>
    <mergeCell ref="D11:G11"/>
    <mergeCell ref="D82:D83"/>
    <mergeCell ref="E82:E83"/>
    <mergeCell ref="D20:E20"/>
    <mergeCell ref="D21:E21"/>
    <mergeCell ref="D22:E22"/>
    <mergeCell ref="D23:E23"/>
    <mergeCell ref="D24:E24"/>
    <mergeCell ref="D131:G131"/>
    <mergeCell ref="H4:I4"/>
    <mergeCell ref="D3:D4"/>
    <mergeCell ref="B38:B42"/>
    <mergeCell ref="B5:C5"/>
    <mergeCell ref="B6:C6"/>
    <mergeCell ref="B4:C4"/>
    <mergeCell ref="B29:B37"/>
    <mergeCell ref="C21:C24"/>
    <mergeCell ref="H5:J5"/>
    <mergeCell ref="H6:J6"/>
    <mergeCell ref="F3:G3"/>
    <mergeCell ref="D7:E7"/>
    <mergeCell ref="F7:G7"/>
  </mergeCells>
  <phoneticPr fontId="2" type="noConversion"/>
  <conditionalFormatting sqref="C20:G24 C140:G144">
    <cfRule type="expression" dxfId="355" priority="63">
      <formula>$D$6="nein"</formula>
    </cfRule>
  </conditionalFormatting>
  <conditionalFormatting sqref="G15:G18 C17:F18 B38:H43 E55:F79 H55:H79 G135:G138 C137:F138 B158:H163 E175:F199 H175:H199">
    <cfRule type="expression" dxfId="354" priority="16">
      <formula>$D$5="nein"</formula>
    </cfRule>
  </conditionalFormatting>
  <conditionalFormatting sqref="AD20:AH24 AD140:AH144">
    <cfRule type="expression" dxfId="353" priority="27">
      <formula>$AE$6="nein"</formula>
    </cfRule>
  </conditionalFormatting>
  <conditionalFormatting sqref="AH15:AH18 AD17:AG18 AC38:AI43 AF55:AG79 AI55:AI79 AH135:AH138 AD137:AG138 AC158:AI163 AF175:AG199 AI175:AI199">
    <cfRule type="expression" dxfId="352" priority="24">
      <formula>$AE$5="nein"</formula>
    </cfRule>
  </conditionalFormatting>
  <dataValidations count="1">
    <dataValidation type="list" allowBlank="1" showInputMessage="1" showErrorMessage="1" sqref="D131 AE131" xr:uid="{B7DE853F-BD92-4BE2-B761-6242B1734C1C}">
      <formula1>Gliederungselemente</formula1>
    </dataValidation>
  </dataValidations>
  <hyperlinks>
    <hyperlink ref="F6:G6" location="Ergebnisse!A122:G134" display="Teilergebnis" xr:uid="{BD1AD367-BECB-4F80-AF22-B58E97F094E8}"/>
    <hyperlink ref="F5:G5" location="Ergebnisse!A10:G25" display="Gesamtergebnis" xr:uid="{2BDB6F4D-A11C-47D8-AA2E-6422EF271C58}"/>
    <hyperlink ref="G6" location="Ergebnisse!AB125:AI134" display="↪ Teilergebnis" xr:uid="{F403CBD4-8058-4616-B5BB-E05811C341C8}"/>
    <hyperlink ref="G5" location="Ergebnisse!AB9:AI24" display="↪ Gesamtergebnis" xr:uid="{1E4F9071-2722-4854-8048-822E62775E36}"/>
    <hyperlink ref="F5" location="Ergebnisse!A9:G24" display="↪ Gesamtergebnis" xr:uid="{A4386577-2A58-4792-91B7-7A84F1D6A022}"/>
    <hyperlink ref="F6" location="Ergebnisse!A125:G134" display="↪ Teilergebnis" xr:uid="{0C375D81-69FC-4AE5-902C-32866D1E5D70}"/>
    <hyperlink ref="AG6:AH6" location="Ergebnisse!A122:G134" display="Teilergebnis" xr:uid="{F476B4E4-261A-43DB-9FCF-30C8F67ECDBA}"/>
    <hyperlink ref="AG5:AH5" location="Ergebnisse!A10:G25" display="Gesamtergebnis" xr:uid="{4E50CA29-72BB-46D5-AEA5-DDD05D2885BF}"/>
    <hyperlink ref="AH6" location="Ergebnisse!AB125:AI134" display="↪ Teilergebnis" xr:uid="{EB1B9132-E495-4E22-B610-E7978F749DCC}"/>
    <hyperlink ref="AH5" location="Ergebnisse!AB9:AI24" display="↪ Gesamtergebnis" xr:uid="{3E2399FE-4422-421F-8BAE-66A9276B3640}"/>
    <hyperlink ref="AG5" location="Ergebnisse!A9:G24" display="↪ Gesamtergebnis" xr:uid="{8B94CD7B-2C62-4CF8-9205-3FFA97D2C2C2}"/>
    <hyperlink ref="AG6" location="Ergebnisse!A125:G134" display="↪ Teilergebnis" xr:uid="{BCDD1B98-9670-4ECB-ABD7-B1FE3F389A6A}"/>
  </hyperlink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9DD2736-4786-4E0F-8133-DB51950BBB9C}">
          <x14:formula1>
            <xm:f>INDIRECT(Dropdowns!$B$23)</xm:f>
          </x14:formula1>
          <xm:sqref>D5:D6 AE5:AE6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04339-56CA-48EC-BED4-1FA368E5A4F4}">
  <sheetPr codeName="Tabelle11">
    <tabColor theme="7" tint="0.59999389629810485"/>
  </sheetPr>
  <dimension ref="B3:X48"/>
  <sheetViews>
    <sheetView showGridLines="0" zoomScaleNormal="100" workbookViewId="0"/>
  </sheetViews>
  <sheetFormatPr baseColWidth="10" defaultRowHeight="14.5" x14ac:dyDescent="0.35"/>
  <cols>
    <col min="1" max="1" width="8.81640625" customWidth="1"/>
    <col min="2" max="2" width="4.6328125" customWidth="1"/>
    <col min="3" max="7" width="5.54296875" customWidth="1"/>
    <col min="8" max="8" width="5.6328125" customWidth="1"/>
    <col min="9" max="10" width="5.54296875" customWidth="1"/>
    <col min="11" max="12" width="2.7265625" customWidth="1"/>
    <col min="13" max="13" width="5.54296875" customWidth="1"/>
    <col min="14" max="15" width="2.81640625" customWidth="1"/>
    <col min="16" max="20" width="5.54296875" customWidth="1"/>
    <col min="21" max="21" width="4.6328125" customWidth="1"/>
  </cols>
  <sheetData>
    <row r="3" spans="2:21" x14ac:dyDescent="0.35">
      <c r="B3" s="355" t="str">
        <f>IF(ISBLANK(Stammdaten!$C$8),"",Stammdaten!$C$8)</f>
        <v/>
      </c>
    </row>
    <row r="4" spans="2:21" ht="18.5" x14ac:dyDescent="0.45">
      <c r="B4" s="126" t="s">
        <v>410</v>
      </c>
      <c r="F4" s="5"/>
    </row>
    <row r="5" spans="2:21" ht="90.5" customHeight="1" x14ac:dyDescent="0.35">
      <c r="B5" s="673" t="s">
        <v>414</v>
      </c>
      <c r="C5" s="673"/>
      <c r="D5" s="673"/>
      <c r="E5" s="673"/>
      <c r="F5" s="673"/>
      <c r="G5" s="673"/>
      <c r="H5" s="673"/>
      <c r="I5" s="673"/>
      <c r="J5" s="673"/>
      <c r="K5" s="673"/>
      <c r="L5" s="673"/>
      <c r="M5" s="673"/>
      <c r="N5" s="673"/>
      <c r="O5" s="673"/>
      <c r="P5" s="673"/>
      <c r="Q5" s="673"/>
      <c r="R5" s="673"/>
      <c r="S5" s="673"/>
      <c r="T5" s="673"/>
    </row>
    <row r="7" spans="2:21" ht="60.5" customHeight="1" x14ac:dyDescent="0.35">
      <c r="C7" s="675"/>
      <c r="D7" s="675"/>
      <c r="E7" s="675"/>
      <c r="F7" s="675"/>
      <c r="G7" s="675"/>
      <c r="H7" s="675"/>
      <c r="I7" s="675"/>
      <c r="J7" s="675"/>
      <c r="K7" s="675"/>
      <c r="L7" s="675"/>
      <c r="M7" s="675"/>
      <c r="N7" s="675"/>
      <c r="O7" s="675"/>
      <c r="P7" s="675"/>
      <c r="Q7" s="675"/>
      <c r="R7" s="675"/>
      <c r="S7" s="675"/>
      <c r="T7" s="675"/>
    </row>
    <row r="9" spans="2:21" ht="13.5" customHeight="1" x14ac:dyDescent="0.35"/>
    <row r="10" spans="2:21" ht="51" x14ac:dyDescent="0.35">
      <c r="C10" s="676" t="s">
        <v>410</v>
      </c>
      <c r="D10" s="676"/>
      <c r="E10" s="676"/>
      <c r="F10" s="676"/>
      <c r="G10" s="676"/>
      <c r="H10" s="676"/>
      <c r="I10" s="676"/>
      <c r="J10" s="676"/>
      <c r="K10" s="676"/>
      <c r="L10" s="676"/>
      <c r="M10" s="676"/>
      <c r="N10" s="676"/>
      <c r="O10" s="676"/>
      <c r="P10" s="676"/>
      <c r="Q10" s="676"/>
      <c r="R10" s="676"/>
      <c r="S10" s="676"/>
      <c r="T10" s="676"/>
    </row>
    <row r="11" spans="2:21" ht="7.5" customHeight="1" x14ac:dyDescent="0.35">
      <c r="B11" s="372"/>
      <c r="C11" s="372"/>
      <c r="D11" s="372"/>
      <c r="E11" s="372"/>
      <c r="F11" s="372"/>
      <c r="G11" s="372"/>
      <c r="H11" s="372"/>
      <c r="I11" s="372"/>
      <c r="J11" s="372"/>
      <c r="K11" s="372"/>
      <c r="L11" s="372"/>
      <c r="M11" s="372"/>
      <c r="N11" s="372"/>
      <c r="O11" s="372"/>
      <c r="P11" s="372"/>
      <c r="Q11" s="372"/>
      <c r="R11" s="372"/>
      <c r="S11" s="372"/>
      <c r="T11" s="372"/>
      <c r="U11" s="372"/>
    </row>
    <row r="12" spans="2:21" ht="44.5" customHeight="1" x14ac:dyDescent="0.35">
      <c r="B12" s="372"/>
      <c r="C12" s="680" t="s">
        <v>416</v>
      </c>
      <c r="D12" s="680"/>
      <c r="E12" s="680"/>
      <c r="F12" s="680"/>
      <c r="G12" s="680"/>
      <c r="H12" s="680"/>
      <c r="I12" s="680"/>
      <c r="J12" s="680"/>
      <c r="K12" s="680"/>
      <c r="L12" s="680"/>
      <c r="M12" s="680"/>
      <c r="N12" s="680"/>
      <c r="O12" s="680"/>
      <c r="P12" s="680"/>
      <c r="Q12" s="680"/>
      <c r="R12" s="680"/>
      <c r="S12" s="680"/>
      <c r="T12" s="680"/>
      <c r="U12" s="372"/>
    </row>
    <row r="13" spans="2:21" ht="14" customHeight="1" x14ac:dyDescent="0.35"/>
    <row r="14" spans="2:21" ht="26" customHeight="1" x14ac:dyDescent="0.65">
      <c r="C14" s="677" t="str">
        <f>IF(ISBLANK(Stammdaten!$C$16),"Bitte Bezugsjahr auswählen (in Stammdaten)!",Stammdaten!$C$16)</f>
        <v>Bitte Bezugsjahr auswählen (in Stammdaten)!</v>
      </c>
      <c r="D14" s="677"/>
      <c r="E14" s="677"/>
      <c r="F14" s="677"/>
      <c r="G14" s="677"/>
      <c r="H14" s="677"/>
      <c r="I14" s="677"/>
      <c r="J14" s="677"/>
      <c r="K14" s="677"/>
      <c r="L14" s="677"/>
      <c r="M14" s="677"/>
      <c r="N14" s="677"/>
      <c r="O14" s="677"/>
      <c r="P14" s="677"/>
      <c r="Q14" s="677"/>
      <c r="R14" s="677"/>
      <c r="S14" s="677"/>
      <c r="T14" s="677"/>
    </row>
    <row r="15" spans="2:21" ht="8" customHeight="1" x14ac:dyDescent="0.35"/>
    <row r="16" spans="2:21" ht="26" customHeight="1" x14ac:dyDescent="0.35">
      <c r="C16" s="680" t="s">
        <v>415</v>
      </c>
      <c r="D16" s="680"/>
      <c r="E16" s="680"/>
      <c r="F16" s="680"/>
      <c r="G16" s="680"/>
      <c r="H16" s="680"/>
      <c r="I16" s="680"/>
      <c r="J16" s="680"/>
      <c r="K16" s="680"/>
      <c r="L16" s="680"/>
      <c r="M16" s="680"/>
      <c r="N16" s="680"/>
      <c r="O16" s="680"/>
      <c r="P16" s="680"/>
      <c r="Q16" s="680"/>
      <c r="R16" s="680"/>
      <c r="S16" s="680"/>
      <c r="T16" s="680"/>
    </row>
    <row r="17" spans="2:24" ht="8" customHeight="1" x14ac:dyDescent="0.35"/>
    <row r="18" spans="2:24" ht="26" x14ac:dyDescent="0.65">
      <c r="C18" s="677" t="str">
        <f>IF(ISBLANK(Stammdaten!$C$8),"Bitte Name der Einrichtung eintragen (in Stammdaten)!",Stammdaten!$C$8)</f>
        <v>Bitte Name der Einrichtung eintragen (in Stammdaten)!</v>
      </c>
      <c r="D18" s="677"/>
      <c r="E18" s="677"/>
      <c r="F18" s="677"/>
      <c r="G18" s="677"/>
      <c r="H18" s="677"/>
      <c r="I18" s="677"/>
      <c r="J18" s="677"/>
      <c r="K18" s="677"/>
      <c r="L18" s="677"/>
      <c r="M18" s="677"/>
      <c r="N18" s="677"/>
      <c r="O18" s="677"/>
      <c r="P18" s="677"/>
      <c r="Q18" s="677"/>
      <c r="R18" s="677"/>
      <c r="S18" s="677"/>
      <c r="T18" s="677"/>
    </row>
    <row r="19" spans="2:24" ht="14" customHeight="1" x14ac:dyDescent="0.35"/>
    <row r="20" spans="2:24" ht="21" customHeight="1" x14ac:dyDescent="0.35">
      <c r="C20" s="678" t="str">
        <f>CONCATENATE("Es wurden Emissionen in Höhe von ",IF(OR('Daten KlimaBilanzKultur+'!$H$12,'Daten KlimaBilanzKultur+'!$H$13,'Daten KlimaBilanzKultur+'!$H$14,'Daten KlimaBilanzKultur+'!$H$15),ROUND(Ergebnisse!$D$18,1),ROUND(Ergebnisse!$D$16,1)))</f>
        <v>Es wurden Emissionen in Höhe von 0</v>
      </c>
      <c r="D20" s="678"/>
      <c r="E20" s="678"/>
      <c r="F20" s="678"/>
      <c r="G20" s="678"/>
      <c r="H20" s="678"/>
      <c r="I20" s="678"/>
      <c r="J20" s="678"/>
      <c r="K20" s="678"/>
      <c r="L20" s="678"/>
      <c r="M20" s="679" t="s">
        <v>465</v>
      </c>
      <c r="N20" s="679"/>
      <c r="O20" s="679"/>
      <c r="P20" s="679"/>
      <c r="Q20" s="679"/>
      <c r="R20" s="679"/>
      <c r="S20" s="679"/>
      <c r="T20" s="679"/>
    </row>
    <row r="21" spans="2:24" ht="8" customHeight="1" x14ac:dyDescent="0.35">
      <c r="C21" s="472"/>
      <c r="D21" s="472"/>
      <c r="E21" s="472"/>
      <c r="F21" s="472"/>
      <c r="G21" s="472"/>
      <c r="H21" s="472"/>
      <c r="I21" s="472"/>
      <c r="J21" s="472"/>
      <c r="K21" s="472"/>
      <c r="L21" s="472"/>
      <c r="M21" s="473"/>
      <c r="N21" s="473"/>
      <c r="O21" s="473"/>
      <c r="P21" s="473"/>
      <c r="Q21" s="473"/>
      <c r="R21" s="473"/>
      <c r="S21" s="473"/>
      <c r="T21" s="473"/>
    </row>
    <row r="22" spans="2:24" ht="26" customHeight="1" x14ac:dyDescent="0.35">
      <c r="C22" s="681" t="str">
        <f>CONCATENATE("*Gesamtemissionen auf Basis der location-based Methode für Scope 2. Die Gesamtemissionen auf Basis der market-based Methode für Scope 2 betragen ",IF(OR('Daten KlimaBilanzKultur+'!$H$12,'Daten KlimaBilanzKultur+'!$H$13,'Daten KlimaBilanzKultur+'!$H$14,'Daten KlimaBilanzKultur+'!$H$15),ROUND(Ergebnisse!$AE$18,1),ROUND(Ergebnisse!$AE$16,1))," t CO2-Äquivalente.")</f>
        <v>*Gesamtemissionen auf Basis der location-based Methode für Scope 2. Die Gesamtemissionen auf Basis der market-based Methode für Scope 2 betragen 0 t CO2-Äquivalente.</v>
      </c>
      <c r="D22" s="681"/>
      <c r="E22" s="681"/>
      <c r="F22" s="681"/>
      <c r="G22" s="681"/>
      <c r="H22" s="681"/>
      <c r="I22" s="681"/>
      <c r="J22" s="681"/>
      <c r="K22" s="681"/>
      <c r="L22" s="681"/>
      <c r="M22" s="681"/>
      <c r="N22" s="681"/>
      <c r="O22" s="681"/>
      <c r="P22" s="681"/>
      <c r="Q22" s="681"/>
      <c r="R22" s="681"/>
      <c r="S22" s="681"/>
      <c r="T22" s="681"/>
    </row>
    <row r="23" spans="2:24" ht="14.5" customHeight="1" x14ac:dyDescent="0.35"/>
    <row r="24" spans="2:24" ht="14.5" customHeight="1" x14ac:dyDescent="0.35"/>
    <row r="25" spans="2:24" s="15" customFormat="1" ht="21" x14ac:dyDescent="0.35">
      <c r="C25" s="674" t="s">
        <v>417</v>
      </c>
      <c r="D25" s="674"/>
      <c r="E25" s="674"/>
      <c r="F25" s="674"/>
      <c r="G25" s="674"/>
      <c r="H25" s="674"/>
      <c r="I25" s="674"/>
      <c r="J25" s="674"/>
      <c r="K25" s="674"/>
      <c r="L25" s="674"/>
      <c r="M25" s="674"/>
      <c r="N25" s="674"/>
      <c r="O25" s="674"/>
      <c r="P25" s="674"/>
      <c r="Q25" s="674"/>
      <c r="R25" s="674"/>
      <c r="S25" s="674"/>
      <c r="T25" s="674"/>
    </row>
    <row r="26" spans="2:24" ht="6.5" customHeight="1" x14ac:dyDescent="0.35">
      <c r="C26" s="6"/>
      <c r="D26" s="6"/>
      <c r="E26" s="6"/>
      <c r="F26" s="6"/>
      <c r="G26" s="6"/>
      <c r="H26" s="6"/>
      <c r="I26" s="6"/>
      <c r="J26" s="6"/>
      <c r="K26" s="6"/>
      <c r="L26" s="6"/>
      <c r="M26" s="6"/>
      <c r="N26" s="6"/>
      <c r="O26" s="6"/>
      <c r="P26" s="6"/>
      <c r="Q26" s="6"/>
      <c r="R26" s="6"/>
      <c r="S26" s="6"/>
      <c r="T26" s="6"/>
    </row>
    <row r="27" spans="2:24" ht="29.5" customHeight="1" x14ac:dyDescent="0.35">
      <c r="C27" s="672" t="str">
        <f>CONCATENATE("Die ",IF(OR('Daten KlimaBilanzKultur+'!$H$12,'Daten KlimaBilanzKultur+'!$H$13,'Daten KlimaBilanzKultur+'!$H$14,'Daten KlimaBilanzKultur+'!$H$15),"KlimaBilanzKultur (KBK) mit KlimaBilanzKultur+ (KBK+)","KlimaBilanzKultur (KBK)")," der Kultureinrichtung '",$C$18,"' berücksichtigt die folgenden Themenbereiche im jeweils spezifizierten Umfang:")</f>
        <v>Die KlimaBilanzKultur (KBK) der Kultureinrichtung 'Bitte Name der Einrichtung eintragen (in Stammdaten)!' berücksichtigt die folgenden Themenbereiche im jeweils spezifizierten Umfang:</v>
      </c>
      <c r="D27" s="672"/>
      <c r="E27" s="672"/>
      <c r="F27" s="672"/>
      <c r="G27" s="672"/>
      <c r="H27" s="672"/>
      <c r="I27" s="672"/>
      <c r="J27" s="672"/>
      <c r="K27" s="672"/>
      <c r="L27" s="672"/>
      <c r="M27" s="672"/>
      <c r="N27" s="672"/>
      <c r="O27" s="672"/>
      <c r="P27" s="672"/>
      <c r="Q27" s="672"/>
      <c r="R27" s="672"/>
      <c r="S27" s="672"/>
      <c r="T27" s="672"/>
    </row>
    <row r="28" spans="2:24" ht="18.5" customHeight="1" x14ac:dyDescent="0.35"/>
    <row r="29" spans="2:24" ht="14.5" customHeight="1" x14ac:dyDescent="0.45">
      <c r="B29" s="349"/>
      <c r="C29" s="665"/>
      <c r="D29" s="666" t="s">
        <v>11</v>
      </c>
      <c r="E29" s="666"/>
      <c r="F29" s="666"/>
      <c r="G29" s="666"/>
      <c r="H29" s="670"/>
      <c r="I29" s="666" t="s">
        <v>18</v>
      </c>
      <c r="J29" s="666"/>
      <c r="K29" s="666"/>
      <c r="L29" s="666"/>
      <c r="M29" s="666"/>
      <c r="N29" s="349"/>
      <c r="P29" s="670"/>
      <c r="Q29" s="363" t="s">
        <v>69</v>
      </c>
      <c r="R29" s="361"/>
      <c r="S29" s="361"/>
      <c r="T29" s="361"/>
      <c r="U29" s="365"/>
      <c r="V29" s="349"/>
      <c r="W29" s="349"/>
      <c r="X29" s="98"/>
    </row>
    <row r="30" spans="2:24" s="371" customFormat="1" ht="12" customHeight="1" x14ac:dyDescent="0.4">
      <c r="B30" s="370"/>
      <c r="C30" s="665"/>
      <c r="D30" s="668" t="str">
        <f>IF('Daten KlimaBilanzKultur'!$H$12,"vollständig enthalten","nicht enthalten")</f>
        <v>nicht enthalten</v>
      </c>
      <c r="E30" s="668"/>
      <c r="F30" s="668"/>
      <c r="G30" s="668"/>
      <c r="H30" s="670"/>
      <c r="I30" s="668" t="str">
        <f>IF('Daten KlimaBilanzKultur'!$H$16,"vollständig enthalten","nicht enthalten")</f>
        <v>nicht enthalten</v>
      </c>
      <c r="J30" s="668"/>
      <c r="K30" s="668"/>
      <c r="L30" s="668"/>
      <c r="M30" s="668"/>
      <c r="N30" s="370"/>
      <c r="P30" s="670"/>
      <c r="Q30" s="366" t="str">
        <f>IF('Daten KlimaBilanzKultur+'!$H$12,"vollständig enthalten","nicht enthalten")</f>
        <v>nicht enthalten</v>
      </c>
      <c r="R30" s="366"/>
      <c r="S30" s="367"/>
      <c r="T30" s="367"/>
      <c r="U30" s="368"/>
      <c r="V30" s="370"/>
      <c r="W30" s="370"/>
      <c r="X30" s="369"/>
    </row>
    <row r="31" spans="2:24" ht="10.5" customHeight="1" x14ac:dyDescent="0.45">
      <c r="B31" s="349"/>
      <c r="C31" s="360"/>
      <c r="D31" s="349"/>
      <c r="E31" s="349"/>
      <c r="F31" s="349"/>
      <c r="G31" s="349"/>
      <c r="H31" s="362"/>
      <c r="I31" s="349"/>
      <c r="J31" s="349"/>
      <c r="K31" s="349"/>
      <c r="L31" s="349"/>
      <c r="M31" s="349"/>
      <c r="N31" s="349"/>
      <c r="P31" s="362"/>
      <c r="Q31" s="349"/>
      <c r="R31" s="349"/>
      <c r="S31" s="349"/>
      <c r="T31" s="349"/>
      <c r="U31" s="349"/>
      <c r="V31" s="349"/>
      <c r="W31" s="350"/>
    </row>
    <row r="32" spans="2:24" ht="14" customHeight="1" x14ac:dyDescent="0.45">
      <c r="B32" s="349"/>
      <c r="C32" s="665"/>
      <c r="D32" s="666" t="s">
        <v>15</v>
      </c>
      <c r="E32" s="666"/>
      <c r="F32" s="666"/>
      <c r="G32" s="666"/>
      <c r="H32" s="670"/>
      <c r="I32" s="364" t="s">
        <v>68</v>
      </c>
      <c r="J32" s="364"/>
      <c r="K32" s="364"/>
      <c r="L32" s="364"/>
      <c r="M32" s="364"/>
      <c r="N32" s="349"/>
      <c r="O32" s="364"/>
      <c r="P32" s="670"/>
      <c r="Q32" s="667" t="s">
        <v>291</v>
      </c>
      <c r="R32" s="667"/>
      <c r="S32" s="667"/>
      <c r="T32" s="667"/>
      <c r="U32" s="349"/>
      <c r="V32" s="349"/>
      <c r="W32" s="349"/>
    </row>
    <row r="33" spans="2:23" s="371" customFormat="1" ht="12" customHeight="1" x14ac:dyDescent="0.4">
      <c r="B33" s="370"/>
      <c r="C33" s="665"/>
      <c r="D33" s="668" t="str">
        <f>IF('Daten KlimaBilanzKultur'!$H$13,"vollständig enthalten","nicht enthalten")</f>
        <v>nicht enthalten</v>
      </c>
      <c r="E33" s="668"/>
      <c r="F33" s="668"/>
      <c r="G33" s="668"/>
      <c r="H33" s="670"/>
      <c r="I33" s="669" t="str">
        <f>IF('Daten KlimaBilanzKultur'!$H$17,"vollständig enthalten","nicht enthalten")</f>
        <v>nicht enthalten</v>
      </c>
      <c r="J33" s="669"/>
      <c r="K33" s="669"/>
      <c r="L33" s="669"/>
      <c r="M33" s="669"/>
      <c r="N33" s="370"/>
      <c r="P33" s="670"/>
      <c r="Q33" s="668" t="str">
        <f>IF('Daten KlimaBilanzKultur+'!$H$13,"vollständig enthalten","nicht enthalten")</f>
        <v>nicht enthalten</v>
      </c>
      <c r="R33" s="668"/>
      <c r="S33" s="668"/>
      <c r="T33" s="668"/>
      <c r="U33" s="370"/>
      <c r="V33" s="370"/>
      <c r="W33" s="370"/>
    </row>
    <row r="34" spans="2:23" ht="10.5" customHeight="1" x14ac:dyDescent="0.45">
      <c r="B34" s="349"/>
      <c r="C34" s="360"/>
      <c r="D34" s="349"/>
      <c r="E34" s="349"/>
      <c r="F34" s="349"/>
      <c r="G34" s="349"/>
      <c r="H34" s="362"/>
      <c r="I34" s="349"/>
      <c r="J34" s="349"/>
      <c r="K34" s="349"/>
      <c r="L34" s="349"/>
      <c r="M34" s="349"/>
      <c r="N34" s="349"/>
      <c r="P34" s="362"/>
      <c r="Q34" s="349"/>
      <c r="R34" s="349"/>
      <c r="S34" s="349"/>
      <c r="T34" s="349"/>
      <c r="U34" s="349"/>
      <c r="V34" s="349"/>
      <c r="W34" s="350"/>
    </row>
    <row r="35" spans="2:23" ht="14.5" customHeight="1" x14ac:dyDescent="0.45">
      <c r="B35" s="349"/>
      <c r="C35" s="665"/>
      <c r="D35" s="666" t="s">
        <v>13</v>
      </c>
      <c r="E35" s="666"/>
      <c r="F35" s="666"/>
      <c r="G35" s="666"/>
      <c r="H35" s="670"/>
      <c r="I35" s="666" t="s">
        <v>129</v>
      </c>
      <c r="J35" s="666"/>
      <c r="K35" s="666"/>
      <c r="L35" s="666"/>
      <c r="M35" s="666"/>
      <c r="N35" s="349"/>
      <c r="P35" s="670"/>
      <c r="Q35" s="667" t="s">
        <v>20</v>
      </c>
      <c r="R35" s="667"/>
      <c r="S35" s="667"/>
      <c r="T35" s="667"/>
      <c r="U35" s="349"/>
      <c r="V35" s="349"/>
      <c r="W35" s="349"/>
    </row>
    <row r="36" spans="2:23" s="371" customFormat="1" ht="12" customHeight="1" x14ac:dyDescent="0.4">
      <c r="B36" s="370"/>
      <c r="C36" s="665"/>
      <c r="D36" s="668" t="str">
        <f>IF('Daten KlimaBilanzKultur'!$H$14,"vollständig enthalten","nicht enthalten")</f>
        <v>nicht enthalten</v>
      </c>
      <c r="E36" s="668"/>
      <c r="F36" s="668"/>
      <c r="G36" s="668"/>
      <c r="H36" s="670"/>
      <c r="I36" s="668" t="str">
        <f>IF('Daten KlimaBilanzKultur'!$H$18,"vollständig enthalten","nicht enthalten")</f>
        <v>nicht enthalten</v>
      </c>
      <c r="J36" s="668"/>
      <c r="K36" s="668"/>
      <c r="L36" s="668"/>
      <c r="M36" s="668"/>
      <c r="N36" s="370"/>
      <c r="P36" s="670"/>
      <c r="Q36" s="668" t="str">
        <f>IF('Daten KlimaBilanzKultur+'!$H$14,"vollständig enthalten","nicht enthalten")</f>
        <v>nicht enthalten</v>
      </c>
      <c r="R36" s="668"/>
      <c r="S36" s="668"/>
      <c r="T36" s="668"/>
      <c r="U36" s="370"/>
      <c r="V36" s="370"/>
      <c r="W36" s="370"/>
    </row>
    <row r="37" spans="2:23" ht="10.5" customHeight="1" x14ac:dyDescent="0.45">
      <c r="B37" s="349"/>
      <c r="C37" s="360"/>
      <c r="D37" s="349"/>
      <c r="E37" s="349"/>
      <c r="F37" s="349"/>
      <c r="G37" s="349"/>
      <c r="H37" s="362"/>
      <c r="I37" s="349"/>
      <c r="J37" s="349"/>
      <c r="K37" s="349"/>
      <c r="L37" s="349"/>
      <c r="M37" s="349"/>
      <c r="N37" s="349"/>
      <c r="P37" s="362"/>
      <c r="Q37" s="349"/>
      <c r="R37" s="349"/>
      <c r="S37" s="349"/>
      <c r="T37" s="349"/>
      <c r="U37" s="349"/>
      <c r="V37" s="349"/>
      <c r="W37" s="350"/>
    </row>
    <row r="38" spans="2:23" ht="14.5" customHeight="1" x14ac:dyDescent="0.45">
      <c r="B38" s="349"/>
      <c r="C38" s="665"/>
      <c r="D38" s="666" t="s">
        <v>12</v>
      </c>
      <c r="E38" s="666"/>
      <c r="F38" s="666"/>
      <c r="G38" s="666"/>
      <c r="H38" s="670"/>
      <c r="I38" s="666" t="s">
        <v>71</v>
      </c>
      <c r="J38" s="666"/>
      <c r="K38" s="666"/>
      <c r="L38" s="666"/>
      <c r="M38" s="666"/>
      <c r="N38" s="349"/>
      <c r="P38" s="670"/>
      <c r="Q38" s="667" t="s">
        <v>19</v>
      </c>
      <c r="R38" s="667"/>
      <c r="S38" s="667"/>
      <c r="T38" s="667"/>
      <c r="U38" s="349"/>
      <c r="V38" s="349"/>
      <c r="W38" s="349"/>
    </row>
    <row r="39" spans="2:23" s="371" customFormat="1" ht="12" customHeight="1" x14ac:dyDescent="0.4">
      <c r="B39" s="370"/>
      <c r="C39" s="665"/>
      <c r="D39" s="668" t="str">
        <f>IF('Daten KlimaBilanzKultur'!$H$15,"vollständig enthalten","nicht enthalten")</f>
        <v>nicht enthalten</v>
      </c>
      <c r="E39" s="668"/>
      <c r="F39" s="668"/>
      <c r="G39" s="668"/>
      <c r="H39" s="670"/>
      <c r="I39" s="668" t="str">
        <f>IF('Daten KlimaBilanzKultur'!$H$19,"vollständig enthalten","nicht enthalten")</f>
        <v>nicht enthalten</v>
      </c>
      <c r="J39" s="668"/>
      <c r="K39" s="668"/>
      <c r="L39" s="668"/>
      <c r="M39" s="668"/>
      <c r="N39" s="370"/>
      <c r="P39" s="670"/>
      <c r="Q39" s="668" t="str">
        <f>IF('Daten KlimaBilanzKultur+'!$H$15,"vollständig enthalten","nicht enthalten")</f>
        <v>nicht enthalten</v>
      </c>
      <c r="R39" s="668"/>
      <c r="S39" s="668"/>
      <c r="T39" s="668"/>
      <c r="U39" s="370"/>
      <c r="V39" s="370"/>
      <c r="W39" s="370"/>
    </row>
    <row r="40" spans="2:23" ht="14" customHeight="1" x14ac:dyDescent="0.35">
      <c r="W40" s="350"/>
    </row>
    <row r="41" spans="2:23" ht="14.5" customHeight="1" x14ac:dyDescent="0.35">
      <c r="W41" s="350" t="str">
        <f>IF('Daten KlimaBilanzKultur'!H24,'Daten KlimaBilanzKultur'!E24,"")</f>
        <v/>
      </c>
    </row>
    <row r="42" spans="2:23" ht="100.5" customHeight="1" x14ac:dyDescent="0.35">
      <c r="C42" s="672" t="s">
        <v>819</v>
      </c>
      <c r="D42" s="672"/>
      <c r="E42" s="672"/>
      <c r="F42" s="672"/>
      <c r="G42" s="672"/>
      <c r="H42" s="672"/>
      <c r="I42" s="672"/>
      <c r="J42" s="672"/>
      <c r="K42" s="672"/>
      <c r="L42" s="672"/>
      <c r="M42" s="672"/>
      <c r="N42" s="672"/>
      <c r="O42" s="672"/>
      <c r="P42" s="672"/>
      <c r="Q42" s="672"/>
      <c r="R42" s="672"/>
      <c r="S42" s="672"/>
      <c r="T42" s="672"/>
      <c r="W42" s="350" t="str">
        <f>IF('Daten KlimaBilanzKultur'!H25,'Daten KlimaBilanzKultur'!E25,"")</f>
        <v/>
      </c>
    </row>
    <row r="43" spans="2:23" ht="28" customHeight="1" x14ac:dyDescent="0.35">
      <c r="C43" s="672"/>
      <c r="D43" s="672"/>
      <c r="E43" s="672"/>
      <c r="F43" s="672"/>
      <c r="G43" s="672"/>
      <c r="H43" s="672"/>
      <c r="I43" s="672"/>
      <c r="J43" s="672"/>
      <c r="K43" s="672"/>
      <c r="L43" s="672"/>
      <c r="M43" s="672"/>
      <c r="N43" s="672"/>
      <c r="O43" s="672"/>
      <c r="P43" s="672"/>
      <c r="Q43" s="672"/>
      <c r="R43" s="672"/>
      <c r="S43" s="672"/>
      <c r="T43" s="672"/>
      <c r="U43" s="359"/>
      <c r="W43" s="350" t="str">
        <f>IF('Daten KlimaBilanzKultur'!H26,'Daten KlimaBilanzKultur'!E26,"")</f>
        <v/>
      </c>
    </row>
    <row r="44" spans="2:23" ht="13.5" customHeight="1" x14ac:dyDescent="0.35">
      <c r="C44" s="452"/>
      <c r="D44" s="452"/>
      <c r="E44" s="452"/>
      <c r="F44" s="452"/>
      <c r="G44" s="452"/>
      <c r="H44" s="452"/>
      <c r="I44" s="452"/>
      <c r="J44" s="452"/>
      <c r="K44" s="452"/>
      <c r="L44" s="452"/>
      <c r="M44" s="452"/>
      <c r="N44" s="452"/>
      <c r="O44" s="452"/>
      <c r="P44" s="452"/>
      <c r="Q44" s="452"/>
      <c r="R44" s="452"/>
      <c r="S44" s="452"/>
      <c r="T44" s="452"/>
    </row>
    <row r="48" spans="2:23" x14ac:dyDescent="0.35">
      <c r="S48" s="671">
        <f ca="1">TODAY()</f>
        <v>46056</v>
      </c>
      <c r="T48" s="671"/>
      <c r="U48" s="671"/>
    </row>
  </sheetData>
  <sheetProtection algorithmName="SHA-512" hashValue="aYorgghVuo2Io2EBb4yYsOCG8g6Tot6Y1zoyoKvLkEq8dl2gD1i+JurNVtFon0mO7MU3LtQh/631KtqFPKZ8gQ==" saltValue="QE/wddlUQqp2F39j4LEYhw==" spinCount="100000" sheet="1" objects="1" scenarios="1"/>
  <mergeCells count="47">
    <mergeCell ref="C42:T43"/>
    <mergeCell ref="Q35:T35"/>
    <mergeCell ref="D38:G38"/>
    <mergeCell ref="C38:C39"/>
    <mergeCell ref="H35:H36"/>
    <mergeCell ref="B5:T5"/>
    <mergeCell ref="C25:T25"/>
    <mergeCell ref="C27:T27"/>
    <mergeCell ref="C7:T7"/>
    <mergeCell ref="C10:T10"/>
    <mergeCell ref="C18:T18"/>
    <mergeCell ref="C20:L20"/>
    <mergeCell ref="M20:T20"/>
    <mergeCell ref="C14:T14"/>
    <mergeCell ref="C12:T12"/>
    <mergeCell ref="C16:T16"/>
    <mergeCell ref="C22:T22"/>
    <mergeCell ref="P29:P30"/>
    <mergeCell ref="D30:G30"/>
    <mergeCell ref="D29:G29"/>
    <mergeCell ref="I29:M29"/>
    <mergeCell ref="S48:U48"/>
    <mergeCell ref="D39:G39"/>
    <mergeCell ref="I39:M39"/>
    <mergeCell ref="Q39:T39"/>
    <mergeCell ref="P32:P33"/>
    <mergeCell ref="H32:H33"/>
    <mergeCell ref="P38:P39"/>
    <mergeCell ref="H38:H39"/>
    <mergeCell ref="D35:G35"/>
    <mergeCell ref="I35:M35"/>
    <mergeCell ref="C35:C36"/>
    <mergeCell ref="C32:C33"/>
    <mergeCell ref="C29:C30"/>
    <mergeCell ref="I38:M38"/>
    <mergeCell ref="Q38:T38"/>
    <mergeCell ref="I30:M30"/>
    <mergeCell ref="D33:G33"/>
    <mergeCell ref="I33:M33"/>
    <mergeCell ref="Q33:T33"/>
    <mergeCell ref="D36:G36"/>
    <mergeCell ref="I36:M36"/>
    <mergeCell ref="Q36:T36"/>
    <mergeCell ref="P35:P36"/>
    <mergeCell ref="D32:G32"/>
    <mergeCell ref="Q32:T32"/>
    <mergeCell ref="H29:H30"/>
  </mergeCells>
  <pageMargins left="0.27559055118110237" right="0.27559055118110237" top="0.19685039370078741" bottom="0.19685039370078741" header="0" footer="0"/>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E562D-7534-4F47-8718-6634376CE617}">
  <sheetPr codeName="Tabelle8">
    <tabColor rgb="FFC7ABFF"/>
  </sheetPr>
  <dimension ref="A1:AT402"/>
  <sheetViews>
    <sheetView showGridLines="0" zoomScaleNormal="100" workbookViewId="0"/>
  </sheetViews>
  <sheetFormatPr baseColWidth="10" defaultRowHeight="14.5" x14ac:dyDescent="0.35"/>
  <cols>
    <col min="1" max="2" width="10.1796875" style="89" customWidth="1"/>
    <col min="3" max="3" width="44.453125" style="89" hidden="1" customWidth="1"/>
    <col min="4" max="4" width="25.1796875" style="529" customWidth="1"/>
    <col min="5" max="5" width="33.7265625" style="529" customWidth="1"/>
    <col min="6" max="6" width="18.54296875" style="529" customWidth="1"/>
    <col min="7" max="19" width="16" style="529" customWidth="1"/>
    <col min="20" max="29" width="16" style="8" customWidth="1"/>
    <col min="30" max="30" width="21.08984375" style="8" customWidth="1"/>
    <col min="31" max="31" width="18.08984375" style="8" customWidth="1"/>
    <col min="32" max="37" width="16" style="8" customWidth="1"/>
    <col min="38" max="44" width="10.90625" style="8"/>
  </cols>
  <sheetData>
    <row r="1" spans="1:44" x14ac:dyDescent="0.35">
      <c r="A1"/>
      <c r="B1"/>
      <c r="C1"/>
      <c r="D1" s="8"/>
      <c r="E1" s="8"/>
      <c r="F1" s="8"/>
      <c r="G1" s="8"/>
      <c r="H1" s="8"/>
      <c r="I1" s="8"/>
      <c r="J1" s="8"/>
      <c r="K1" s="8"/>
      <c r="L1" s="8"/>
      <c r="M1" s="8"/>
      <c r="N1" s="8"/>
      <c r="O1" s="8"/>
      <c r="P1" s="8"/>
      <c r="Q1" s="8"/>
      <c r="R1" s="8"/>
      <c r="S1" s="8"/>
    </row>
    <row r="2" spans="1:44" ht="18.5" x14ac:dyDescent="0.45">
      <c r="A2"/>
      <c r="B2"/>
      <c r="C2"/>
      <c r="D2" s="533" t="s">
        <v>134</v>
      </c>
      <c r="E2" s="8"/>
      <c r="F2" s="8"/>
      <c r="G2" s="8"/>
      <c r="H2" s="8"/>
      <c r="I2" s="8"/>
      <c r="J2" s="8"/>
      <c r="K2" s="8"/>
      <c r="L2" s="8"/>
      <c r="M2" s="8"/>
      <c r="N2" s="8"/>
      <c r="O2" s="8"/>
      <c r="P2" s="8"/>
      <c r="Q2" s="8"/>
      <c r="R2" s="8"/>
      <c r="S2" s="8"/>
    </row>
    <row r="3" spans="1:44" ht="5.25" customHeight="1" x14ac:dyDescent="0.45">
      <c r="A3"/>
      <c r="B3"/>
      <c r="C3"/>
      <c r="D3" s="527"/>
      <c r="E3" s="8"/>
      <c r="F3" s="8"/>
      <c r="G3" s="8"/>
      <c r="H3" s="8"/>
      <c r="I3" s="8"/>
      <c r="J3" s="8"/>
      <c r="K3" s="8"/>
      <c r="L3" s="8"/>
      <c r="M3" s="8"/>
      <c r="N3" s="8"/>
      <c r="O3" s="8"/>
      <c r="P3" s="8"/>
      <c r="Q3" s="8"/>
      <c r="R3" s="8"/>
      <c r="S3" s="8"/>
    </row>
    <row r="4" spans="1:44" x14ac:dyDescent="0.35">
      <c r="A4"/>
      <c r="B4"/>
      <c r="C4"/>
      <c r="D4" s="682" t="s">
        <v>81</v>
      </c>
      <c r="E4" s="683"/>
      <c r="F4" s="683"/>
      <c r="G4" s="683"/>
      <c r="H4" s="683"/>
      <c r="I4" s="684"/>
      <c r="J4" s="8"/>
      <c r="K4" s="8"/>
      <c r="L4" s="8"/>
      <c r="M4" s="8"/>
      <c r="N4" s="8"/>
      <c r="O4" s="8"/>
      <c r="P4" s="8"/>
      <c r="Q4" s="8"/>
      <c r="R4" s="8"/>
      <c r="S4" s="8"/>
    </row>
    <row r="5" spans="1:44" ht="329.5" customHeight="1" x14ac:dyDescent="0.35">
      <c r="A5"/>
      <c r="B5"/>
      <c r="C5"/>
      <c r="D5" s="686" t="s">
        <v>622</v>
      </c>
      <c r="E5" s="687"/>
      <c r="F5" s="687"/>
      <c r="G5" s="687"/>
      <c r="H5" s="687"/>
      <c r="I5" s="688"/>
      <c r="J5" s="8"/>
      <c r="K5" s="8"/>
      <c r="L5" s="8"/>
      <c r="M5" s="8"/>
      <c r="N5" s="8"/>
      <c r="O5" s="8"/>
      <c r="P5" s="8"/>
      <c r="Q5" s="8"/>
      <c r="R5" s="8"/>
      <c r="S5" s="8"/>
    </row>
    <row r="6" spans="1:44" ht="15" customHeight="1" x14ac:dyDescent="0.35">
      <c r="A6"/>
      <c r="B6"/>
      <c r="C6"/>
      <c r="D6" s="8"/>
      <c r="E6" s="8"/>
      <c r="F6" s="8"/>
      <c r="G6" s="8"/>
      <c r="H6" s="8"/>
      <c r="I6" s="8"/>
      <c r="J6" s="8"/>
      <c r="K6" s="8"/>
      <c r="L6" s="8"/>
      <c r="M6" s="8"/>
      <c r="N6" s="8"/>
      <c r="O6" s="8"/>
      <c r="P6" s="8"/>
      <c r="Q6" s="8"/>
      <c r="R6" s="8"/>
      <c r="S6" s="8"/>
    </row>
    <row r="7" spans="1:44" ht="18.5" x14ac:dyDescent="0.45">
      <c r="A7"/>
      <c r="B7"/>
      <c r="C7"/>
      <c r="D7" s="527" t="s">
        <v>112</v>
      </c>
      <c r="E7" s="8"/>
      <c r="F7" s="8"/>
      <c r="G7" s="8"/>
      <c r="H7" s="8"/>
      <c r="I7" s="8"/>
      <c r="J7" s="8"/>
      <c r="K7" s="8"/>
      <c r="L7" s="8"/>
      <c r="M7" s="8"/>
      <c r="N7" s="8"/>
      <c r="O7" s="8"/>
      <c r="P7" s="8"/>
      <c r="Q7" s="8"/>
      <c r="R7" s="8"/>
      <c r="S7" s="8"/>
    </row>
    <row r="8" spans="1:44" s="10" customFormat="1" ht="58" x14ac:dyDescent="0.35">
      <c r="A8" s="685" t="s">
        <v>11</v>
      </c>
      <c r="B8" s="685"/>
      <c r="C8" s="151" t="s">
        <v>46</v>
      </c>
      <c r="D8" s="151" t="s">
        <v>0</v>
      </c>
      <c r="E8" s="151" t="s">
        <v>1</v>
      </c>
      <c r="F8" s="151" t="s">
        <v>53</v>
      </c>
      <c r="G8" s="151" t="s">
        <v>485</v>
      </c>
      <c r="H8" s="151" t="s">
        <v>435</v>
      </c>
      <c r="I8" s="151" t="s">
        <v>436</v>
      </c>
      <c r="J8" s="151" t="s">
        <v>437</v>
      </c>
      <c r="K8" s="151" t="s">
        <v>469</v>
      </c>
      <c r="L8" s="151" t="s">
        <v>468</v>
      </c>
      <c r="M8" s="151" t="s">
        <v>467</v>
      </c>
      <c r="N8" s="151" t="s">
        <v>466</v>
      </c>
      <c r="O8" s="151" t="s">
        <v>538</v>
      </c>
      <c r="P8" s="151" t="s">
        <v>438</v>
      </c>
      <c r="Q8" s="151" t="s">
        <v>486</v>
      </c>
      <c r="R8" s="151" t="s">
        <v>439</v>
      </c>
      <c r="S8" s="151" t="s">
        <v>440</v>
      </c>
      <c r="T8" s="151" t="s">
        <v>441</v>
      </c>
      <c r="U8" s="151" t="s">
        <v>470</v>
      </c>
      <c r="V8" s="151" t="s">
        <v>471</v>
      </c>
      <c r="W8" s="151" t="s">
        <v>472</v>
      </c>
      <c r="X8" s="151" t="s">
        <v>473</v>
      </c>
      <c r="Y8" s="151" t="s">
        <v>539</v>
      </c>
      <c r="Z8" s="151" t="s">
        <v>487</v>
      </c>
      <c r="AA8" s="151" t="s">
        <v>2</v>
      </c>
      <c r="AB8" s="151" t="s">
        <v>3</v>
      </c>
      <c r="AC8" s="151" t="s">
        <v>4</v>
      </c>
      <c r="AD8" s="151" t="s">
        <v>403</v>
      </c>
      <c r="AE8" s="151" t="s">
        <v>404</v>
      </c>
      <c r="AF8" s="151" t="s">
        <v>21</v>
      </c>
      <c r="AG8" s="151" t="s">
        <v>277</v>
      </c>
      <c r="AH8" s="151" t="s">
        <v>278</v>
      </c>
      <c r="AI8" s="151" t="s">
        <v>279</v>
      </c>
      <c r="AJ8" s="528"/>
      <c r="AK8" s="528"/>
      <c r="AL8" s="528"/>
      <c r="AM8" s="528"/>
      <c r="AN8" s="528"/>
      <c r="AO8" s="528"/>
      <c r="AP8" s="528"/>
      <c r="AQ8" s="528"/>
      <c r="AR8" s="528"/>
    </row>
    <row r="9" spans="1:44" x14ac:dyDescent="0.35">
      <c r="A9"/>
      <c r="B9"/>
      <c r="C9" t="str">
        <f>CONCATENATE(EFs_Wärme[[#This Row],[Thema]]," - ",EFs_Wärme[[#This Row],[Bezeichnung]])</f>
        <v>Wärme - Erdgas (in kWh)</v>
      </c>
      <c r="D9" s="109" t="str">
        <f t="shared" ref="D9:D32" si="0">"Wärme"</f>
        <v>Wärme</v>
      </c>
      <c r="E9" s="8" t="s">
        <v>342</v>
      </c>
      <c r="F9" s="8" t="s">
        <v>245</v>
      </c>
      <c r="G9" s="109">
        <v>0.1832529</v>
      </c>
      <c r="H9" s="8">
        <v>0.18276329999999999</v>
      </c>
      <c r="I9" s="8">
        <v>9.7999999999999993E-6</v>
      </c>
      <c r="J9" s="8">
        <v>7.9999999999999996E-7</v>
      </c>
      <c r="K9" s="8">
        <v>0</v>
      </c>
      <c r="L9" s="8">
        <v>0</v>
      </c>
      <c r="M9" s="8">
        <v>0</v>
      </c>
      <c r="N9" s="8">
        <v>0</v>
      </c>
      <c r="O9" s="8">
        <v>0</v>
      </c>
      <c r="P9" s="8">
        <v>0</v>
      </c>
      <c r="Q9" s="109">
        <v>0</v>
      </c>
      <c r="R9" s="8">
        <v>0</v>
      </c>
      <c r="S9" s="8">
        <v>0</v>
      </c>
      <c r="T9" s="8">
        <v>0</v>
      </c>
      <c r="U9" s="8">
        <v>0</v>
      </c>
      <c r="V9" s="8">
        <v>0</v>
      </c>
      <c r="W9" s="8">
        <v>0</v>
      </c>
      <c r="X9" s="8">
        <v>0</v>
      </c>
      <c r="Y9" s="8">
        <v>0</v>
      </c>
      <c r="Z9" s="109">
        <v>3.9375599999999997E-2</v>
      </c>
      <c r="AA9" s="153" t="s">
        <v>662</v>
      </c>
      <c r="AB9" s="8" t="s">
        <v>125</v>
      </c>
      <c r="AC9" s="153" t="s">
        <v>662</v>
      </c>
      <c r="AD9" s="8">
        <v>0.90300000000000002</v>
      </c>
      <c r="AE9" s="8" t="s">
        <v>662</v>
      </c>
      <c r="AF9" s="8" t="s">
        <v>665</v>
      </c>
      <c r="AG9" s="8" t="s">
        <v>84</v>
      </c>
      <c r="AH9" s="8" t="s">
        <v>125</v>
      </c>
      <c r="AI9" s="8" t="s">
        <v>86</v>
      </c>
    </row>
    <row r="10" spans="1:44" ht="16.5" x14ac:dyDescent="0.35">
      <c r="A10"/>
      <c r="B10"/>
      <c r="C10" t="str">
        <f>CONCATENATE(EFs_Wärme[[#This Row],[Thema]]," - ",EFs_Wärme[[#This Row],[Bezeichnung]])</f>
        <v>Wärme - Erdgas (in m3)</v>
      </c>
      <c r="D10" s="109" t="str">
        <f>"Wärme"</f>
        <v>Wärme</v>
      </c>
      <c r="E10" s="8" t="s">
        <v>623</v>
      </c>
      <c r="F10" s="8" t="s">
        <v>624</v>
      </c>
      <c r="G10" s="109">
        <v>1.9832715999999999</v>
      </c>
      <c r="H10" s="8">
        <v>1.9779724000000001</v>
      </c>
      <c r="I10" s="8">
        <v>1.055E-4</v>
      </c>
      <c r="J10" s="8">
        <v>8.8000000000000004E-6</v>
      </c>
      <c r="K10" s="8">
        <v>0</v>
      </c>
      <c r="L10" s="8">
        <v>0</v>
      </c>
      <c r="M10" s="8">
        <v>0</v>
      </c>
      <c r="N10" s="8">
        <v>0</v>
      </c>
      <c r="O10" s="8">
        <v>0</v>
      </c>
      <c r="P10" s="8">
        <v>0</v>
      </c>
      <c r="Q10" s="109">
        <v>0</v>
      </c>
      <c r="R10" s="8">
        <v>0</v>
      </c>
      <c r="S10" s="8">
        <v>0</v>
      </c>
      <c r="T10" s="8">
        <v>0</v>
      </c>
      <c r="U10" s="8">
        <v>0</v>
      </c>
      <c r="V10" s="8">
        <v>0</v>
      </c>
      <c r="W10" s="8">
        <v>0</v>
      </c>
      <c r="X10" s="8">
        <v>0</v>
      </c>
      <c r="Y10" s="8">
        <v>0</v>
      </c>
      <c r="Z10" s="109">
        <v>0.38481009999999999</v>
      </c>
      <c r="AA10" s="153" t="s">
        <v>662</v>
      </c>
      <c r="AB10" s="8" t="s">
        <v>125</v>
      </c>
      <c r="AC10" s="153" t="s">
        <v>662</v>
      </c>
      <c r="AD10" s="8">
        <v>9.7728000000000002</v>
      </c>
      <c r="AE10" s="8" t="s">
        <v>662</v>
      </c>
      <c r="AF10" s="8" t="s">
        <v>666</v>
      </c>
      <c r="AG10" s="8" t="s">
        <v>84</v>
      </c>
      <c r="AH10" s="8" t="s">
        <v>125</v>
      </c>
      <c r="AI10" s="8" t="s">
        <v>86</v>
      </c>
    </row>
    <row r="11" spans="1:44" x14ac:dyDescent="0.35">
      <c r="A11"/>
      <c r="B11"/>
      <c r="C11" t="str">
        <f>CONCATENATE(EFs_Wärme[[#This Row],[Thema]]," - ",EFs_Wärme[[#This Row],[Bezeichnung]])</f>
        <v>Wärme - Biogas (in kWh)</v>
      </c>
      <c r="D11" s="109" t="str">
        <f>"Wärme"</f>
        <v>Wärme</v>
      </c>
      <c r="E11" s="8" t="s">
        <v>405</v>
      </c>
      <c r="F11" s="8" t="s">
        <v>245</v>
      </c>
      <c r="G11" s="109">
        <v>3.4025E-2</v>
      </c>
      <c r="H11" s="8">
        <v>0</v>
      </c>
      <c r="I11" s="8">
        <v>1.1802E-3</v>
      </c>
      <c r="J11" s="8">
        <v>3.7000000000000002E-6</v>
      </c>
      <c r="K11" s="8">
        <v>0</v>
      </c>
      <c r="L11" s="8">
        <v>0</v>
      </c>
      <c r="M11" s="8">
        <v>0</v>
      </c>
      <c r="N11" s="8">
        <v>0</v>
      </c>
      <c r="O11" s="8">
        <v>0</v>
      </c>
      <c r="P11" s="8">
        <v>0.21740219999999999</v>
      </c>
      <c r="Q11" s="109">
        <v>0</v>
      </c>
      <c r="R11" s="8">
        <v>0</v>
      </c>
      <c r="S11" s="8">
        <v>0</v>
      </c>
      <c r="T11" s="8">
        <v>0</v>
      </c>
      <c r="U11" s="8">
        <v>0</v>
      </c>
      <c r="V11" s="8">
        <v>0</v>
      </c>
      <c r="W11" s="8">
        <v>0</v>
      </c>
      <c r="X11" s="8">
        <v>0</v>
      </c>
      <c r="Y11" s="8">
        <v>0</v>
      </c>
      <c r="Z11" s="109">
        <v>4.9558900000000003E-2</v>
      </c>
      <c r="AA11" s="153" t="s">
        <v>662</v>
      </c>
      <c r="AB11" s="8" t="s">
        <v>125</v>
      </c>
      <c r="AC11" s="153" t="s">
        <v>662</v>
      </c>
      <c r="AD11" s="8">
        <v>0.66666666666666663</v>
      </c>
      <c r="AE11" s="8" t="s">
        <v>663</v>
      </c>
      <c r="AF11" s="8" t="s">
        <v>667</v>
      </c>
      <c r="AG11" s="8" t="str">
        <f>"Kat. 1"</f>
        <v>Kat. 1</v>
      </c>
      <c r="AH11" s="8" t="s">
        <v>125</v>
      </c>
      <c r="AI11" s="8" t="str">
        <f>"Kat. 3"</f>
        <v>Kat. 3</v>
      </c>
    </row>
    <row r="12" spans="1:44" ht="16.5" x14ac:dyDescent="0.35">
      <c r="A12"/>
      <c r="B12"/>
      <c r="C12" t="str">
        <f>CONCATENATE(EFs_Wärme[[#This Row],[Thema]]," - ",EFs_Wärme[[#This Row],[Bezeichnung]])</f>
        <v>Wärme - Biogas (in m3)</v>
      </c>
      <c r="D12" s="109" t="str">
        <f>"Wärme"</f>
        <v>Wärme</v>
      </c>
      <c r="E12" s="8" t="s">
        <v>625</v>
      </c>
      <c r="F12" s="8" t="s">
        <v>624</v>
      </c>
      <c r="G12" s="109">
        <v>0.28354430000000003</v>
      </c>
      <c r="H12" s="8">
        <v>0</v>
      </c>
      <c r="I12" s="8">
        <v>9.8350999999999994E-3</v>
      </c>
      <c r="J12" s="8">
        <v>3.0800000000000003E-5</v>
      </c>
      <c r="K12" s="8">
        <v>0</v>
      </c>
      <c r="L12" s="8">
        <v>0</v>
      </c>
      <c r="M12" s="8">
        <v>0</v>
      </c>
      <c r="N12" s="8">
        <v>0</v>
      </c>
      <c r="O12" s="8">
        <v>0</v>
      </c>
      <c r="P12" s="8">
        <v>1.8116992000000001</v>
      </c>
      <c r="Q12" s="109">
        <v>0</v>
      </c>
      <c r="R12" s="8">
        <v>0</v>
      </c>
      <c r="S12" s="8">
        <v>0</v>
      </c>
      <c r="T12" s="8">
        <v>0</v>
      </c>
      <c r="U12" s="8">
        <v>0</v>
      </c>
      <c r="V12" s="8">
        <v>0</v>
      </c>
      <c r="W12" s="8">
        <v>0</v>
      </c>
      <c r="X12" s="8">
        <v>0</v>
      </c>
      <c r="Y12" s="8">
        <v>0</v>
      </c>
      <c r="Z12" s="109">
        <v>0.41299380000000002</v>
      </c>
      <c r="AA12" s="153" t="s">
        <v>662</v>
      </c>
      <c r="AB12" s="8" t="s">
        <v>125</v>
      </c>
      <c r="AC12" s="153" t="s">
        <v>662</v>
      </c>
      <c r="AD12" s="8">
        <v>5.5556000000000001</v>
      </c>
      <c r="AE12" s="8" t="s">
        <v>662</v>
      </c>
      <c r="AF12" s="8" t="s">
        <v>668</v>
      </c>
      <c r="AG12" s="8" t="str">
        <f>"Kat. 1"</f>
        <v>Kat. 1</v>
      </c>
      <c r="AH12" s="8" t="s">
        <v>125</v>
      </c>
      <c r="AI12" s="8" t="str">
        <f>"Kat. 3"</f>
        <v>Kat. 3</v>
      </c>
    </row>
    <row r="13" spans="1:44" x14ac:dyDescent="0.35">
      <c r="A13"/>
      <c r="B13"/>
      <c r="C13" t="str">
        <f>CONCATENATE(EFs_Wärme[[#This Row],[Thema]]," - ",EFs_Wärme[[#This Row],[Bezeichnung]])</f>
        <v>Wärme - Biomethan (in kWh)</v>
      </c>
      <c r="D13" s="109" t="str">
        <f t="shared" si="0"/>
        <v>Wärme</v>
      </c>
      <c r="E13" s="8" t="s">
        <v>343</v>
      </c>
      <c r="F13" s="8" t="s">
        <v>245</v>
      </c>
      <c r="G13" s="109">
        <v>2.5547799999999999E-2</v>
      </c>
      <c r="H13" s="8">
        <v>0</v>
      </c>
      <c r="I13" s="8">
        <v>8.832E-4</v>
      </c>
      <c r="J13" s="8">
        <v>3.1E-6</v>
      </c>
      <c r="K13" s="8">
        <v>0</v>
      </c>
      <c r="L13" s="8">
        <v>0</v>
      </c>
      <c r="M13" s="8">
        <v>0</v>
      </c>
      <c r="N13" s="8">
        <v>0</v>
      </c>
      <c r="O13" s="8">
        <v>0</v>
      </c>
      <c r="P13" s="8">
        <v>0.18318880000000001</v>
      </c>
      <c r="Q13" s="109">
        <v>0</v>
      </c>
      <c r="R13" s="8">
        <v>0</v>
      </c>
      <c r="S13" s="8">
        <v>0</v>
      </c>
      <c r="T13" s="8">
        <v>0</v>
      </c>
      <c r="U13" s="8">
        <v>0</v>
      </c>
      <c r="V13" s="8">
        <v>0</v>
      </c>
      <c r="W13" s="8">
        <v>0</v>
      </c>
      <c r="X13" s="8">
        <v>0</v>
      </c>
      <c r="Y13" s="8">
        <v>0</v>
      </c>
      <c r="Z13" s="109">
        <v>0.1108565</v>
      </c>
      <c r="AA13" s="153" t="s">
        <v>664</v>
      </c>
      <c r="AB13" s="8" t="s">
        <v>125</v>
      </c>
      <c r="AC13" s="153" t="s">
        <v>664</v>
      </c>
      <c r="AD13" s="8">
        <v>0.90300000000000002</v>
      </c>
      <c r="AE13" s="8" t="s">
        <v>662</v>
      </c>
      <c r="AF13" s="8" t="s">
        <v>669</v>
      </c>
      <c r="AG13" s="8" t="s">
        <v>84</v>
      </c>
      <c r="AH13" s="8" t="s">
        <v>125</v>
      </c>
      <c r="AI13" s="8" t="s">
        <v>86</v>
      </c>
    </row>
    <row r="14" spans="1:44" ht="16.5" x14ac:dyDescent="0.35">
      <c r="A14"/>
      <c r="B14"/>
      <c r="C14" t="str">
        <f>CONCATENATE(EFs_Wärme[[#This Row],[Thema]]," - ",EFs_Wärme[[#This Row],[Bezeichnung]])</f>
        <v>Wärme - Biomethan (in m3)</v>
      </c>
      <c r="D14" s="109" t="str">
        <f>"Wärme"</f>
        <v>Wärme</v>
      </c>
      <c r="E14" s="8" t="s">
        <v>626</v>
      </c>
      <c r="F14" s="8" t="s">
        <v>624</v>
      </c>
      <c r="G14" s="109">
        <v>0.2764935</v>
      </c>
      <c r="H14" s="8">
        <v>0</v>
      </c>
      <c r="I14" s="8">
        <v>9.5583999999999999E-3</v>
      </c>
      <c r="J14" s="8">
        <v>3.3399999999999999E-5</v>
      </c>
      <c r="K14" s="8">
        <v>0</v>
      </c>
      <c r="L14" s="8">
        <v>0</v>
      </c>
      <c r="M14" s="8">
        <v>0</v>
      </c>
      <c r="N14" s="8">
        <v>0</v>
      </c>
      <c r="O14" s="8">
        <v>0</v>
      </c>
      <c r="P14" s="8">
        <v>1.9825778999999999</v>
      </c>
      <c r="Q14" s="109">
        <v>0</v>
      </c>
      <c r="R14" s="8">
        <v>0</v>
      </c>
      <c r="S14" s="8">
        <v>0</v>
      </c>
      <c r="T14" s="8">
        <v>0</v>
      </c>
      <c r="U14" s="8">
        <v>0</v>
      </c>
      <c r="V14" s="8">
        <v>0</v>
      </c>
      <c r="W14" s="8">
        <v>0</v>
      </c>
      <c r="X14" s="8">
        <v>0</v>
      </c>
      <c r="Y14" s="8">
        <v>0</v>
      </c>
      <c r="Z14" s="109">
        <v>1.1997547</v>
      </c>
      <c r="AA14" s="153" t="s">
        <v>664</v>
      </c>
      <c r="AB14" s="8" t="s">
        <v>125</v>
      </c>
      <c r="AC14" s="153" t="s">
        <v>664</v>
      </c>
      <c r="AD14" s="8">
        <v>9.7728000000000002</v>
      </c>
      <c r="AE14" s="8" t="s">
        <v>662</v>
      </c>
      <c r="AF14" s="8" t="s">
        <v>670</v>
      </c>
      <c r="AG14" s="8" t="s">
        <v>84</v>
      </c>
      <c r="AH14" s="8" t="s">
        <v>125</v>
      </c>
      <c r="AI14" s="8" t="s">
        <v>86</v>
      </c>
    </row>
    <row r="15" spans="1:44" x14ac:dyDescent="0.35">
      <c r="A15"/>
      <c r="B15"/>
      <c r="C15" t="str">
        <f>CONCATENATE(EFs_Wärme[[#This Row],[Thema]]," - ",EFs_Wärme[[#This Row],[Bezeichnung]])</f>
        <v>Wärme - Heizöl (in kWh)</v>
      </c>
      <c r="D15" s="109" t="str">
        <f t="shared" si="0"/>
        <v>Wärme</v>
      </c>
      <c r="E15" s="8" t="s">
        <v>76</v>
      </c>
      <c r="F15" s="8" t="s">
        <v>246</v>
      </c>
      <c r="G15" s="109">
        <v>0.26699800000000001</v>
      </c>
      <c r="H15" s="8">
        <v>0.26647199999999999</v>
      </c>
      <c r="I15" s="8">
        <v>1.9999999999999999E-7</v>
      </c>
      <c r="J15" s="8">
        <v>1.9999999999999999E-6</v>
      </c>
      <c r="K15" s="8">
        <v>0</v>
      </c>
      <c r="L15" s="8">
        <v>0</v>
      </c>
      <c r="M15" s="8">
        <v>0</v>
      </c>
      <c r="N15" s="8">
        <v>0</v>
      </c>
      <c r="O15" s="8">
        <v>0</v>
      </c>
      <c r="P15" s="8">
        <v>0</v>
      </c>
      <c r="Q15" s="109">
        <v>0</v>
      </c>
      <c r="R15" s="8">
        <v>0</v>
      </c>
      <c r="S15" s="8">
        <v>0</v>
      </c>
      <c r="T15" s="8">
        <v>0</v>
      </c>
      <c r="U15" s="8">
        <v>0</v>
      </c>
      <c r="V15" s="8">
        <v>0</v>
      </c>
      <c r="W15" s="8">
        <v>0</v>
      </c>
      <c r="X15" s="8">
        <v>0</v>
      </c>
      <c r="Y15" s="8">
        <v>0</v>
      </c>
      <c r="Z15" s="109">
        <v>4.5747999999999997E-2</v>
      </c>
      <c r="AA15" s="153" t="s">
        <v>662</v>
      </c>
      <c r="AB15" s="8" t="s">
        <v>125</v>
      </c>
      <c r="AC15" s="153" t="s">
        <v>662</v>
      </c>
      <c r="AD15" s="8">
        <v>1</v>
      </c>
      <c r="AE15" s="8" t="s">
        <v>125</v>
      </c>
      <c r="AF15" s="8" t="s">
        <v>671</v>
      </c>
      <c r="AG15" s="8" t="s">
        <v>84</v>
      </c>
      <c r="AH15" s="8" t="s">
        <v>125</v>
      </c>
      <c r="AI15" s="8" t="s">
        <v>86</v>
      </c>
    </row>
    <row r="16" spans="1:44" x14ac:dyDescent="0.35">
      <c r="A16"/>
      <c r="B16"/>
      <c r="C16" t="str">
        <f>CONCATENATE(EFs_Wärme[[#This Row],[Thema]]," - ",EFs_Wärme[[#This Row],[Bezeichnung]])</f>
        <v>Wärme - Heizöl (in L)</v>
      </c>
      <c r="D16" s="109" t="str">
        <f t="shared" si="0"/>
        <v>Wärme</v>
      </c>
      <c r="E16" s="8" t="s">
        <v>77</v>
      </c>
      <c r="F16" s="8" t="s">
        <v>25</v>
      </c>
      <c r="G16" s="109">
        <v>2.6208878000000002</v>
      </c>
      <c r="H16" s="8">
        <v>2.6157246999999999</v>
      </c>
      <c r="I16" s="8">
        <v>1.5999999999999999E-6</v>
      </c>
      <c r="J16" s="8">
        <v>1.9300000000000002E-5</v>
      </c>
      <c r="K16" s="8">
        <v>0</v>
      </c>
      <c r="L16" s="8">
        <v>0</v>
      </c>
      <c r="M16" s="8">
        <v>0</v>
      </c>
      <c r="N16" s="8">
        <v>0</v>
      </c>
      <c r="O16" s="8">
        <v>0</v>
      </c>
      <c r="P16" s="8">
        <v>0</v>
      </c>
      <c r="Q16" s="109">
        <v>0</v>
      </c>
      <c r="R16" s="8">
        <v>0</v>
      </c>
      <c r="S16" s="8">
        <v>0</v>
      </c>
      <c r="T16" s="8">
        <v>0</v>
      </c>
      <c r="U16" s="8">
        <v>0</v>
      </c>
      <c r="V16" s="8">
        <v>0</v>
      </c>
      <c r="W16" s="8">
        <v>0</v>
      </c>
      <c r="X16" s="8">
        <v>0</v>
      </c>
      <c r="Y16" s="8">
        <v>0</v>
      </c>
      <c r="Z16" s="109">
        <v>0.44906889999999999</v>
      </c>
      <c r="AA16" s="153" t="s">
        <v>662</v>
      </c>
      <c r="AB16" s="8" t="s">
        <v>125</v>
      </c>
      <c r="AC16" s="153" t="s">
        <v>662</v>
      </c>
      <c r="AD16" s="8">
        <v>9.8161333333333314</v>
      </c>
      <c r="AE16" s="8" t="s">
        <v>662</v>
      </c>
      <c r="AF16" s="8" t="s">
        <v>672</v>
      </c>
      <c r="AG16" s="8" t="s">
        <v>84</v>
      </c>
      <c r="AH16" s="8" t="s">
        <v>125</v>
      </c>
      <c r="AI16" s="8" t="s">
        <v>86</v>
      </c>
    </row>
    <row r="17" spans="1:44" x14ac:dyDescent="0.35">
      <c r="A17"/>
      <c r="B17"/>
      <c r="C17" t="str">
        <f>CONCATENATE(EFs_Wärme[[#This Row],[Thema]]," - ",EFs_Wärme[[#This Row],[Bezeichnung]])</f>
        <v>Wärme - Flüssiggas (in kWh)</v>
      </c>
      <c r="D17" s="109" t="str">
        <f>"Wärme"</f>
        <v>Wärme</v>
      </c>
      <c r="E17" s="8" t="s">
        <v>349</v>
      </c>
      <c r="F17" s="8" t="s">
        <v>24</v>
      </c>
      <c r="G17" s="109">
        <v>0.2397754</v>
      </c>
      <c r="H17" s="8">
        <v>0.2388006</v>
      </c>
      <c r="I17" s="8">
        <v>6.8000000000000001E-6</v>
      </c>
      <c r="J17" s="8">
        <v>3.0000000000000001E-6</v>
      </c>
      <c r="K17" s="8">
        <v>0</v>
      </c>
      <c r="L17" s="8">
        <v>0</v>
      </c>
      <c r="M17" s="8">
        <v>0</v>
      </c>
      <c r="N17" s="8">
        <v>0</v>
      </c>
      <c r="O17" s="8">
        <v>0</v>
      </c>
      <c r="P17" s="8">
        <v>0</v>
      </c>
      <c r="Q17" s="109">
        <v>0</v>
      </c>
      <c r="R17" s="8">
        <v>0</v>
      </c>
      <c r="S17" s="8">
        <v>0</v>
      </c>
      <c r="T17" s="8">
        <v>0</v>
      </c>
      <c r="U17" s="8">
        <v>0</v>
      </c>
      <c r="V17" s="8">
        <v>0</v>
      </c>
      <c r="W17" s="8">
        <v>0</v>
      </c>
      <c r="X17" s="8">
        <v>0</v>
      </c>
      <c r="Y17" s="8">
        <v>0</v>
      </c>
      <c r="Z17" s="109">
        <v>8.2482799999999995E-2</v>
      </c>
      <c r="AA17" s="8" t="s">
        <v>662</v>
      </c>
      <c r="AB17" s="8" t="s">
        <v>125</v>
      </c>
      <c r="AC17" s="8" t="s">
        <v>662</v>
      </c>
      <c r="AD17" s="8">
        <v>1</v>
      </c>
      <c r="AE17" s="8" t="s">
        <v>125</v>
      </c>
      <c r="AF17" s="8" t="s">
        <v>673</v>
      </c>
      <c r="AG17" s="8" t="s">
        <v>84</v>
      </c>
      <c r="AH17" s="8" t="s">
        <v>125</v>
      </c>
      <c r="AI17" s="8" t="s">
        <v>86</v>
      </c>
    </row>
    <row r="18" spans="1:44" x14ac:dyDescent="0.35">
      <c r="A18"/>
      <c r="B18"/>
      <c r="C18" t="str">
        <f>CONCATENATE(EFs_Wärme[[#This Row],[Thema]]," - ",EFs_Wärme[[#This Row],[Bezeichnung]])</f>
        <v>Wärme - Flüssiggas (in L)</v>
      </c>
      <c r="D18" s="109" t="str">
        <f>"Wärme"</f>
        <v>Wärme</v>
      </c>
      <c r="E18" s="8" t="s">
        <v>350</v>
      </c>
      <c r="F18" s="8" t="s">
        <v>25</v>
      </c>
      <c r="G18" s="109">
        <v>1.8621757999999999</v>
      </c>
      <c r="H18" s="8">
        <v>1.8546050000000001</v>
      </c>
      <c r="I18" s="8">
        <v>5.3000000000000001E-5</v>
      </c>
      <c r="J18" s="8">
        <v>2.3E-5</v>
      </c>
      <c r="K18" s="8">
        <v>0</v>
      </c>
      <c r="L18" s="8">
        <v>0</v>
      </c>
      <c r="M18" s="8">
        <v>0</v>
      </c>
      <c r="N18" s="8">
        <v>0</v>
      </c>
      <c r="O18" s="8">
        <v>0</v>
      </c>
      <c r="P18" s="8">
        <v>0</v>
      </c>
      <c r="Q18" s="109">
        <v>0</v>
      </c>
      <c r="R18" s="8">
        <v>0</v>
      </c>
      <c r="S18" s="8">
        <v>0</v>
      </c>
      <c r="T18" s="8">
        <v>0</v>
      </c>
      <c r="U18" s="8">
        <v>0</v>
      </c>
      <c r="V18" s="8">
        <v>0</v>
      </c>
      <c r="W18" s="8">
        <v>0</v>
      </c>
      <c r="X18" s="8">
        <v>0</v>
      </c>
      <c r="Y18" s="8">
        <v>0</v>
      </c>
      <c r="Z18" s="109">
        <v>0.64058910000000002</v>
      </c>
      <c r="AA18" s="8" t="s">
        <v>662</v>
      </c>
      <c r="AB18" s="8" t="s">
        <v>125</v>
      </c>
      <c r="AC18" s="8" t="s">
        <v>662</v>
      </c>
      <c r="AD18" s="8">
        <v>7.7663333333333329</v>
      </c>
      <c r="AE18" s="8" t="s">
        <v>662</v>
      </c>
      <c r="AF18" s="8" t="s">
        <v>674</v>
      </c>
      <c r="AG18" s="8" t="s">
        <v>84</v>
      </c>
      <c r="AH18" s="8" t="s">
        <v>125</v>
      </c>
      <c r="AI18" s="8" t="s">
        <v>86</v>
      </c>
    </row>
    <row r="19" spans="1:44" s="8" customFormat="1" x14ac:dyDescent="0.35">
      <c r="C19" t="str">
        <f>CONCATENATE(EFs_Wärme[[#This Row],[Thema]]," - ",EFs_Wärme[[#This Row],[Bezeichnung]])</f>
        <v>Wärme - Fernwärme (fossiler Mix DE)</v>
      </c>
      <c r="D19" s="109" t="str">
        <f t="shared" si="0"/>
        <v>Wärme</v>
      </c>
      <c r="E19" s="8" t="s">
        <v>286</v>
      </c>
      <c r="F19" s="8" t="s">
        <v>24</v>
      </c>
      <c r="G19" s="109">
        <v>0</v>
      </c>
      <c r="H19" s="8">
        <v>0</v>
      </c>
      <c r="I19" s="8">
        <v>0</v>
      </c>
      <c r="J19" s="8">
        <v>0</v>
      </c>
      <c r="K19" s="8">
        <v>0</v>
      </c>
      <c r="L19" s="8">
        <v>0</v>
      </c>
      <c r="M19" s="8">
        <v>0</v>
      </c>
      <c r="N19" s="8">
        <v>0</v>
      </c>
      <c r="O19" s="8">
        <v>0</v>
      </c>
      <c r="P19" s="8">
        <v>0</v>
      </c>
      <c r="Q19" s="109">
        <v>0.26598300000000002</v>
      </c>
      <c r="R19" s="8">
        <v>0.26253549999999998</v>
      </c>
      <c r="S19" s="8">
        <v>7.4200000000000001E-5</v>
      </c>
      <c r="T19" s="8">
        <v>5.2000000000000002E-6</v>
      </c>
      <c r="U19" s="8">
        <v>0</v>
      </c>
      <c r="V19" s="8">
        <v>0</v>
      </c>
      <c r="W19" s="8">
        <v>0</v>
      </c>
      <c r="X19" s="8">
        <v>0</v>
      </c>
      <c r="Y19" s="8">
        <v>0</v>
      </c>
      <c r="Z19" s="109">
        <v>9.10715E-2</v>
      </c>
      <c r="AA19" s="8" t="s">
        <v>125</v>
      </c>
      <c r="AB19" s="153" t="s">
        <v>662</v>
      </c>
      <c r="AC19" s="153" t="s">
        <v>662</v>
      </c>
      <c r="AD19" s="8">
        <v>1</v>
      </c>
      <c r="AE19" s="8" t="s">
        <v>125</v>
      </c>
      <c r="AF19" s="8" t="s">
        <v>675</v>
      </c>
      <c r="AG19" s="8" t="s">
        <v>125</v>
      </c>
      <c r="AH19" s="8" t="s">
        <v>85</v>
      </c>
      <c r="AI19" s="8" t="s">
        <v>86</v>
      </c>
    </row>
    <row r="20" spans="1:44" x14ac:dyDescent="0.35">
      <c r="A20"/>
      <c r="B20"/>
      <c r="C20" t="str">
        <f>CONCATENATE(EFs_Wärme[[#This Row],[Thema]]," - ",EFs_Wärme[[#This Row],[Bezeichnung]])</f>
        <v>Wärme - Fernwärme (Wert Energieversorger)</v>
      </c>
      <c r="D20" s="109" t="str">
        <f t="shared" si="0"/>
        <v>Wärme</v>
      </c>
      <c r="E20" s="8" t="s">
        <v>64</v>
      </c>
      <c r="F20" s="8" t="s">
        <v>24</v>
      </c>
      <c r="G20" s="109">
        <v>0</v>
      </c>
      <c r="H20" s="8">
        <v>0</v>
      </c>
      <c r="I20" s="8">
        <v>0</v>
      </c>
      <c r="J20" s="8">
        <v>0</v>
      </c>
      <c r="K20" s="8">
        <v>0</v>
      </c>
      <c r="L20" s="8">
        <v>0</v>
      </c>
      <c r="M20" s="8">
        <v>0</v>
      </c>
      <c r="N20" s="8">
        <v>0</v>
      </c>
      <c r="O20" s="8">
        <v>0</v>
      </c>
      <c r="P20" s="8">
        <v>0</v>
      </c>
      <c r="Q20" s="109">
        <v>0</v>
      </c>
      <c r="R20" s="8">
        <v>0</v>
      </c>
      <c r="S20" s="8">
        <v>0</v>
      </c>
      <c r="T20" s="8">
        <v>0</v>
      </c>
      <c r="U20" s="8">
        <v>0</v>
      </c>
      <c r="V20" s="8">
        <v>0</v>
      </c>
      <c r="W20" s="8">
        <v>0</v>
      </c>
      <c r="X20" s="8">
        <v>0</v>
      </c>
      <c r="Y20" s="8">
        <v>0</v>
      </c>
      <c r="Z20" s="109">
        <v>9.10715E-2</v>
      </c>
      <c r="AA20" s="8" t="s">
        <v>125</v>
      </c>
      <c r="AB20" s="8" t="s">
        <v>125</v>
      </c>
      <c r="AC20" s="153" t="s">
        <v>662</v>
      </c>
      <c r="AD20" s="8">
        <v>1</v>
      </c>
      <c r="AE20" s="8" t="s">
        <v>125</v>
      </c>
      <c r="AF20" s="8" t="s">
        <v>676</v>
      </c>
      <c r="AG20" s="8" t="s">
        <v>125</v>
      </c>
      <c r="AH20" s="8" t="s">
        <v>85</v>
      </c>
      <c r="AI20" s="8" t="s">
        <v>86</v>
      </c>
    </row>
    <row r="21" spans="1:44" x14ac:dyDescent="0.35">
      <c r="A21"/>
      <c r="B21"/>
      <c r="C21" t="str">
        <f>CONCATENATE(EFs_Wärme[[#This Row],[Thema]]," - ",EFs_Wärme[[#This Row],[Bezeichnung]])</f>
        <v>Wärme - Holzpellets</v>
      </c>
      <c r="D21" s="109" t="str">
        <f t="shared" si="0"/>
        <v>Wärme</v>
      </c>
      <c r="E21" s="8" t="s">
        <v>22</v>
      </c>
      <c r="F21" s="8" t="s">
        <v>26</v>
      </c>
      <c r="G21" s="109">
        <v>1.751E-3</v>
      </c>
      <c r="H21" s="8">
        <v>0</v>
      </c>
      <c r="I21" s="8">
        <v>8.4999999999999999E-6</v>
      </c>
      <c r="J21" s="8">
        <v>5.6999999999999996E-6</v>
      </c>
      <c r="K21" s="8">
        <v>0</v>
      </c>
      <c r="L21" s="8">
        <v>0</v>
      </c>
      <c r="M21" s="8">
        <v>0</v>
      </c>
      <c r="N21" s="8">
        <v>0</v>
      </c>
      <c r="O21" s="8">
        <v>0</v>
      </c>
      <c r="P21" s="8">
        <v>0</v>
      </c>
      <c r="Q21" s="109">
        <v>0</v>
      </c>
      <c r="R21" s="8">
        <v>0</v>
      </c>
      <c r="S21" s="8">
        <v>0</v>
      </c>
      <c r="T21" s="8">
        <v>0</v>
      </c>
      <c r="U21" s="8">
        <v>0</v>
      </c>
      <c r="V21" s="8">
        <v>0</v>
      </c>
      <c r="W21" s="8">
        <v>0</v>
      </c>
      <c r="X21" s="8">
        <v>0</v>
      </c>
      <c r="Y21" s="8">
        <v>0</v>
      </c>
      <c r="Z21" s="109">
        <v>8.0319100000000004E-2</v>
      </c>
      <c r="AA21" s="153" t="s">
        <v>664</v>
      </c>
      <c r="AB21" s="8" t="s">
        <v>125</v>
      </c>
      <c r="AC21" s="153" t="s">
        <v>664</v>
      </c>
      <c r="AD21" s="8">
        <v>4.75</v>
      </c>
      <c r="AE21" s="8" t="s">
        <v>664</v>
      </c>
      <c r="AF21" s="8" t="s">
        <v>677</v>
      </c>
      <c r="AG21" s="8" t="s">
        <v>84</v>
      </c>
      <c r="AH21" s="8" t="s">
        <v>125</v>
      </c>
      <c r="AI21" s="8" t="s">
        <v>86</v>
      </c>
    </row>
    <row r="22" spans="1:44" x14ac:dyDescent="0.35">
      <c r="A22"/>
      <c r="B22"/>
      <c r="C22" t="str">
        <f>CONCATENATE(EFs_Wärme[[#This Row],[Thema]]," - ",EFs_Wärme[[#This Row],[Bezeichnung]])</f>
        <v>Wärme - Solarthermie</v>
      </c>
      <c r="D22" s="109" t="str">
        <f t="shared" si="0"/>
        <v>Wärme</v>
      </c>
      <c r="E22" s="8" t="s">
        <v>23</v>
      </c>
      <c r="F22" s="8" t="s">
        <v>24</v>
      </c>
      <c r="G22" s="109">
        <v>0</v>
      </c>
      <c r="H22" s="8">
        <v>0</v>
      </c>
      <c r="I22" s="8">
        <v>0</v>
      </c>
      <c r="J22" s="8">
        <v>0</v>
      </c>
      <c r="K22" s="8">
        <v>0</v>
      </c>
      <c r="L22" s="8">
        <v>0</v>
      </c>
      <c r="M22" s="8">
        <v>0</v>
      </c>
      <c r="N22" s="8">
        <v>0</v>
      </c>
      <c r="O22" s="8">
        <v>0</v>
      </c>
      <c r="P22" s="8">
        <v>0</v>
      </c>
      <c r="Q22" s="109">
        <v>0</v>
      </c>
      <c r="R22" s="8">
        <v>0</v>
      </c>
      <c r="S22" s="8">
        <v>0</v>
      </c>
      <c r="T22" s="8">
        <v>0</v>
      </c>
      <c r="U22" s="8">
        <v>0</v>
      </c>
      <c r="V22" s="8">
        <v>0</v>
      </c>
      <c r="W22" s="8">
        <v>0</v>
      </c>
      <c r="X22" s="8">
        <v>0</v>
      </c>
      <c r="Y22" s="8">
        <v>0</v>
      </c>
      <c r="Z22" s="109">
        <v>1.4814000000000001E-2</v>
      </c>
      <c r="AA22" s="8" t="s">
        <v>125</v>
      </c>
      <c r="AB22" s="8" t="s">
        <v>125</v>
      </c>
      <c r="AC22" s="8" t="s">
        <v>662</v>
      </c>
      <c r="AD22" s="8">
        <v>1</v>
      </c>
      <c r="AE22" s="8" t="s">
        <v>125</v>
      </c>
      <c r="AF22" s="8" t="s">
        <v>678</v>
      </c>
      <c r="AG22" s="8" t="s">
        <v>125</v>
      </c>
      <c r="AH22" s="8" t="s">
        <v>125</v>
      </c>
      <c r="AI22" s="8" t="s">
        <v>86</v>
      </c>
    </row>
    <row r="23" spans="1:44" s="89" customFormat="1" x14ac:dyDescent="0.35">
      <c r="A23" s="265" t="str">
        <f>"Eigenfaktor --&gt;"</f>
        <v>Eigenfaktor --&gt;</v>
      </c>
      <c r="B23"/>
      <c r="C23" s="89" t="str">
        <f>CONCATENATE(EFs_Wärme[[#This Row],[Thema]]," - ",EFs_Wärme[[#This Row],[Bezeichnung]])</f>
        <v xml:space="preserve">Wärme - </v>
      </c>
      <c r="D23" s="109" t="str">
        <f t="shared" si="0"/>
        <v>Wärme</v>
      </c>
      <c r="E23" s="529"/>
      <c r="F23" s="529"/>
      <c r="G23" s="530"/>
      <c r="H23" s="529"/>
      <c r="I23" s="529"/>
      <c r="J23" s="529"/>
      <c r="K23" s="529"/>
      <c r="L23" s="529"/>
      <c r="M23" s="529"/>
      <c r="N23" s="529"/>
      <c r="O23" s="529"/>
      <c r="P23" s="529"/>
      <c r="Q23" s="530"/>
      <c r="R23" s="529"/>
      <c r="S23" s="529"/>
      <c r="T23" s="529"/>
      <c r="U23" s="529"/>
      <c r="V23" s="529"/>
      <c r="W23" s="529"/>
      <c r="X23" s="529"/>
      <c r="Y23" s="529"/>
      <c r="Z23" s="530"/>
      <c r="AA23" s="529"/>
      <c r="AB23" s="529"/>
      <c r="AC23" s="529"/>
      <c r="AD23" s="529"/>
      <c r="AE23" s="529"/>
      <c r="AF23" s="529"/>
      <c r="AG23" s="529"/>
      <c r="AH23" s="529"/>
      <c r="AI23" s="529"/>
      <c r="AJ23" s="529"/>
      <c r="AK23" s="8"/>
      <c r="AL23" s="8"/>
      <c r="AM23" s="8"/>
      <c r="AN23" s="8"/>
      <c r="AO23" s="8"/>
      <c r="AP23" s="8"/>
      <c r="AQ23" s="8"/>
      <c r="AR23" s="8"/>
    </row>
    <row r="24" spans="1:44" s="89" customFormat="1" x14ac:dyDescent="0.35">
      <c r="A24" s="265" t="str">
        <f t="shared" ref="A24:A28" si="1">"Eigenfaktor --&gt;"</f>
        <v>Eigenfaktor --&gt;</v>
      </c>
      <c r="B24"/>
      <c r="C24" s="89" t="str">
        <f>CONCATENATE(EFs_Wärme[[#This Row],[Thema]]," - ",EFs_Wärme[[#This Row],[Bezeichnung]])</f>
        <v xml:space="preserve">Wärme - </v>
      </c>
      <c r="D24" s="109" t="str">
        <f>"Wärme"</f>
        <v>Wärme</v>
      </c>
      <c r="E24" s="529"/>
      <c r="F24" s="529"/>
      <c r="G24" s="530"/>
      <c r="H24" s="529"/>
      <c r="I24" s="529"/>
      <c r="J24" s="529"/>
      <c r="K24" s="529"/>
      <c r="L24" s="529"/>
      <c r="M24" s="529"/>
      <c r="N24" s="529"/>
      <c r="O24" s="529"/>
      <c r="P24" s="529"/>
      <c r="Q24" s="530"/>
      <c r="R24" s="529"/>
      <c r="S24" s="529"/>
      <c r="T24" s="529"/>
      <c r="U24" s="529"/>
      <c r="V24" s="529"/>
      <c r="W24" s="529"/>
      <c r="X24" s="529"/>
      <c r="Y24" s="529"/>
      <c r="Z24" s="530"/>
      <c r="AA24" s="529"/>
      <c r="AB24" s="529"/>
      <c r="AC24" s="529"/>
      <c r="AD24" s="529"/>
      <c r="AE24" s="529"/>
      <c r="AF24" s="529"/>
      <c r="AG24" s="529"/>
      <c r="AH24" s="529"/>
      <c r="AI24" s="529"/>
      <c r="AJ24" s="529"/>
      <c r="AK24" s="8"/>
      <c r="AL24" s="8"/>
      <c r="AM24" s="8"/>
      <c r="AN24" s="8"/>
      <c r="AO24" s="8"/>
      <c r="AP24" s="8"/>
      <c r="AQ24" s="8"/>
      <c r="AR24" s="8"/>
    </row>
    <row r="25" spans="1:44" s="89" customFormat="1" x14ac:dyDescent="0.35">
      <c r="A25" s="265" t="str">
        <f t="shared" si="1"/>
        <v>Eigenfaktor --&gt;</v>
      </c>
      <c r="B25"/>
      <c r="C25" s="89" t="str">
        <f>CONCATENATE(EFs_Wärme[[#This Row],[Thema]]," - ",EFs_Wärme[[#This Row],[Bezeichnung]])</f>
        <v xml:space="preserve">Wärme - </v>
      </c>
      <c r="D25" s="109" t="str">
        <f>"Wärme"</f>
        <v>Wärme</v>
      </c>
      <c r="E25" s="529"/>
      <c r="F25" s="529"/>
      <c r="G25" s="530"/>
      <c r="H25" s="529"/>
      <c r="I25" s="529"/>
      <c r="J25" s="529"/>
      <c r="K25" s="529"/>
      <c r="L25" s="529"/>
      <c r="M25" s="529"/>
      <c r="N25" s="529"/>
      <c r="O25" s="529"/>
      <c r="P25" s="529"/>
      <c r="Q25" s="530"/>
      <c r="R25" s="529"/>
      <c r="S25" s="529"/>
      <c r="T25" s="529"/>
      <c r="U25" s="529"/>
      <c r="V25" s="529"/>
      <c r="W25" s="529"/>
      <c r="X25" s="529"/>
      <c r="Y25" s="529"/>
      <c r="Z25" s="530"/>
      <c r="AA25" s="529"/>
      <c r="AB25" s="529"/>
      <c r="AC25" s="529"/>
      <c r="AD25" s="529"/>
      <c r="AE25" s="529"/>
      <c r="AF25" s="529"/>
      <c r="AG25" s="529"/>
      <c r="AH25" s="529"/>
      <c r="AI25" s="529"/>
      <c r="AJ25" s="529"/>
      <c r="AK25" s="8"/>
      <c r="AL25" s="8"/>
      <c r="AM25" s="8"/>
      <c r="AN25" s="8"/>
      <c r="AO25" s="8"/>
      <c r="AP25" s="8"/>
      <c r="AQ25" s="8"/>
      <c r="AR25" s="8"/>
    </row>
    <row r="26" spans="1:44" s="89" customFormat="1" x14ac:dyDescent="0.35">
      <c r="A26" s="265" t="str">
        <f t="shared" si="1"/>
        <v>Eigenfaktor --&gt;</v>
      </c>
      <c r="B26"/>
      <c r="C26" s="89" t="str">
        <f>CONCATENATE(EFs_Wärme[[#This Row],[Thema]]," - ",EFs_Wärme[[#This Row],[Bezeichnung]])</f>
        <v xml:space="preserve">Wärme - </v>
      </c>
      <c r="D26" s="109" t="str">
        <f>"Wärme"</f>
        <v>Wärme</v>
      </c>
      <c r="E26" s="529"/>
      <c r="F26" s="529"/>
      <c r="G26" s="530"/>
      <c r="H26" s="529"/>
      <c r="I26" s="529"/>
      <c r="J26" s="529"/>
      <c r="K26" s="529"/>
      <c r="L26" s="529"/>
      <c r="M26" s="529"/>
      <c r="N26" s="529"/>
      <c r="O26" s="529"/>
      <c r="P26" s="529"/>
      <c r="Q26" s="530"/>
      <c r="R26" s="529"/>
      <c r="S26" s="529"/>
      <c r="T26" s="529"/>
      <c r="U26" s="529"/>
      <c r="V26" s="529"/>
      <c r="W26" s="529"/>
      <c r="X26" s="529"/>
      <c r="Y26" s="529"/>
      <c r="Z26" s="530"/>
      <c r="AA26" s="529"/>
      <c r="AB26" s="529"/>
      <c r="AC26" s="529"/>
      <c r="AD26" s="529"/>
      <c r="AE26" s="529"/>
      <c r="AF26" s="529"/>
      <c r="AG26" s="529"/>
      <c r="AH26" s="529"/>
      <c r="AI26" s="529"/>
      <c r="AJ26" s="529"/>
      <c r="AK26" s="8"/>
      <c r="AL26" s="8"/>
      <c r="AM26" s="8"/>
      <c r="AN26" s="8"/>
      <c r="AO26" s="8"/>
      <c r="AP26" s="8"/>
      <c r="AQ26" s="8"/>
      <c r="AR26" s="8"/>
    </row>
    <row r="27" spans="1:44" s="89" customFormat="1" x14ac:dyDescent="0.35">
      <c r="A27" s="265" t="str">
        <f t="shared" si="1"/>
        <v>Eigenfaktor --&gt;</v>
      </c>
      <c r="B27"/>
      <c r="C27" s="89" t="str">
        <f>CONCATENATE(EFs_Wärme[[#This Row],[Thema]]," - ",EFs_Wärme[[#This Row],[Bezeichnung]])</f>
        <v xml:space="preserve">Wärme - </v>
      </c>
      <c r="D27" s="109" t="str">
        <f>"Wärme"</f>
        <v>Wärme</v>
      </c>
      <c r="E27" s="529"/>
      <c r="F27" s="529"/>
      <c r="G27" s="530"/>
      <c r="H27" s="530"/>
      <c r="I27" s="530"/>
      <c r="J27" s="530"/>
      <c r="K27" s="529"/>
      <c r="L27" s="529"/>
      <c r="M27" s="529"/>
      <c r="N27" s="529"/>
      <c r="O27" s="529"/>
      <c r="P27" s="529"/>
      <c r="Q27" s="530"/>
      <c r="R27" s="529"/>
      <c r="S27" s="529"/>
      <c r="T27" s="529"/>
      <c r="U27" s="529"/>
      <c r="V27" s="529"/>
      <c r="W27" s="529"/>
      <c r="X27" s="529"/>
      <c r="Y27" s="529"/>
      <c r="Z27" s="530"/>
      <c r="AA27" s="529"/>
      <c r="AB27" s="529"/>
      <c r="AC27" s="529"/>
      <c r="AD27" s="529"/>
      <c r="AE27" s="529"/>
      <c r="AF27" s="529"/>
      <c r="AG27" s="529"/>
      <c r="AH27" s="529"/>
      <c r="AI27" s="529"/>
      <c r="AJ27" s="529"/>
      <c r="AK27" s="8"/>
      <c r="AL27" s="8"/>
      <c r="AM27" s="8"/>
      <c r="AN27" s="8"/>
      <c r="AO27" s="8"/>
      <c r="AP27" s="8"/>
      <c r="AQ27" s="8"/>
      <c r="AR27" s="8"/>
    </row>
    <row r="28" spans="1:44" s="89" customFormat="1" x14ac:dyDescent="0.35">
      <c r="A28" s="265" t="str">
        <f t="shared" si="1"/>
        <v>Eigenfaktor --&gt;</v>
      </c>
      <c r="B28"/>
      <c r="C28" s="89" t="str">
        <f>CONCATENATE(EFs_Wärme[[#This Row],[Thema]]," - ",EFs_Wärme[[#This Row],[Bezeichnung]])</f>
        <v xml:space="preserve">Wärme - </v>
      </c>
      <c r="D28" s="109" t="str">
        <f>"Wärme"</f>
        <v>Wärme</v>
      </c>
      <c r="E28" s="529"/>
      <c r="F28" s="529"/>
      <c r="G28" s="530"/>
      <c r="H28" s="529"/>
      <c r="I28" s="529"/>
      <c r="J28" s="529"/>
      <c r="K28" s="529"/>
      <c r="L28" s="529"/>
      <c r="M28" s="529"/>
      <c r="N28" s="529"/>
      <c r="O28" s="529"/>
      <c r="P28" s="529"/>
      <c r="Q28" s="530"/>
      <c r="R28" s="529"/>
      <c r="S28" s="529"/>
      <c r="T28" s="529"/>
      <c r="U28" s="529"/>
      <c r="V28" s="529"/>
      <c r="W28" s="529"/>
      <c r="X28" s="529"/>
      <c r="Y28" s="529"/>
      <c r="Z28" s="530"/>
      <c r="AA28" s="529"/>
      <c r="AB28" s="529"/>
      <c r="AC28" s="529"/>
      <c r="AD28" s="529"/>
      <c r="AE28" s="529"/>
      <c r="AF28" s="529"/>
      <c r="AG28" s="529"/>
      <c r="AH28" s="529"/>
      <c r="AI28" s="529"/>
      <c r="AJ28" s="529"/>
      <c r="AK28" s="8"/>
      <c r="AL28" s="8"/>
      <c r="AM28" s="8"/>
      <c r="AN28" s="8"/>
      <c r="AO28" s="8"/>
      <c r="AP28" s="8"/>
      <c r="AQ28" s="8"/>
      <c r="AR28" s="8"/>
    </row>
    <row r="29" spans="1:44" s="89" customFormat="1" x14ac:dyDescent="0.35">
      <c r="A29" s="265" t="str">
        <f t="shared" ref="A29:A32" si="2">"Eigenfaktor --&gt;"</f>
        <v>Eigenfaktor --&gt;</v>
      </c>
      <c r="B29"/>
      <c r="C29" s="89" t="str">
        <f>CONCATENATE(EFs_Wärme[[#This Row],[Thema]]," - ",EFs_Wärme[[#This Row],[Bezeichnung]])</f>
        <v xml:space="preserve">Wärme - </v>
      </c>
      <c r="D29" s="109" t="str">
        <f t="shared" si="0"/>
        <v>Wärme</v>
      </c>
      <c r="E29" s="529"/>
      <c r="F29" s="529"/>
      <c r="G29" s="530"/>
      <c r="H29" s="529"/>
      <c r="I29" s="529"/>
      <c r="J29" s="529"/>
      <c r="K29" s="529"/>
      <c r="L29" s="529"/>
      <c r="M29" s="529"/>
      <c r="N29" s="529"/>
      <c r="O29" s="529"/>
      <c r="P29" s="529"/>
      <c r="Q29" s="530"/>
      <c r="R29" s="529"/>
      <c r="S29" s="529"/>
      <c r="T29" s="529"/>
      <c r="U29" s="529"/>
      <c r="V29" s="529"/>
      <c r="W29" s="529"/>
      <c r="X29" s="529"/>
      <c r="Y29" s="529"/>
      <c r="Z29" s="530"/>
      <c r="AA29" s="529"/>
      <c r="AB29" s="529"/>
      <c r="AC29" s="529"/>
      <c r="AD29" s="529"/>
      <c r="AE29" s="529"/>
      <c r="AF29" s="529"/>
      <c r="AG29" s="529"/>
      <c r="AH29" s="529"/>
      <c r="AI29" s="529"/>
      <c r="AJ29" s="529"/>
      <c r="AK29" s="8"/>
      <c r="AL29" s="8"/>
      <c r="AM29" s="8"/>
      <c r="AN29" s="8"/>
      <c r="AO29" s="8"/>
      <c r="AP29" s="8"/>
      <c r="AQ29" s="8"/>
      <c r="AR29" s="8"/>
    </row>
    <row r="30" spans="1:44" s="89" customFormat="1" x14ac:dyDescent="0.35">
      <c r="A30" s="265" t="str">
        <f t="shared" si="2"/>
        <v>Eigenfaktor --&gt;</v>
      </c>
      <c r="B30"/>
      <c r="C30" s="89" t="str">
        <f>CONCATENATE(EFs_Wärme[[#This Row],[Thema]]," - ",EFs_Wärme[[#This Row],[Bezeichnung]])</f>
        <v xml:space="preserve">Wärme - </v>
      </c>
      <c r="D30" s="109" t="str">
        <f t="shared" si="0"/>
        <v>Wärme</v>
      </c>
      <c r="E30" s="529"/>
      <c r="F30" s="529"/>
      <c r="G30" s="530"/>
      <c r="H30" s="529"/>
      <c r="I30" s="529"/>
      <c r="J30" s="529"/>
      <c r="K30" s="529"/>
      <c r="L30" s="529"/>
      <c r="M30" s="529"/>
      <c r="N30" s="529"/>
      <c r="O30" s="529"/>
      <c r="P30" s="529"/>
      <c r="Q30" s="530"/>
      <c r="R30" s="529"/>
      <c r="S30" s="529"/>
      <c r="T30" s="529"/>
      <c r="U30" s="529"/>
      <c r="V30" s="529"/>
      <c r="W30" s="529"/>
      <c r="X30" s="529"/>
      <c r="Y30" s="529"/>
      <c r="Z30" s="530"/>
      <c r="AA30" s="529"/>
      <c r="AB30" s="529"/>
      <c r="AC30" s="529"/>
      <c r="AD30" s="529"/>
      <c r="AE30" s="529"/>
      <c r="AF30" s="529"/>
      <c r="AG30" s="529"/>
      <c r="AH30" s="529"/>
      <c r="AI30" s="529"/>
      <c r="AJ30" s="529"/>
      <c r="AK30" s="8"/>
      <c r="AL30" s="8"/>
      <c r="AM30" s="8"/>
      <c r="AN30" s="8"/>
      <c r="AO30" s="8"/>
      <c r="AP30" s="8"/>
      <c r="AQ30" s="8"/>
      <c r="AR30" s="8"/>
    </row>
    <row r="31" spans="1:44" s="89" customFormat="1" x14ac:dyDescent="0.35">
      <c r="A31" s="357" t="str">
        <f t="shared" si="2"/>
        <v>Eigenfaktor --&gt;</v>
      </c>
      <c r="C31" s="89" t="str">
        <f>CONCATENATE(EFs_Wärme[[#This Row],[Thema]]," - ",EFs_Wärme[[#This Row],[Bezeichnung]])</f>
        <v xml:space="preserve">Wärme - </v>
      </c>
      <c r="D31" s="530" t="str">
        <f t="shared" si="0"/>
        <v>Wärme</v>
      </c>
      <c r="E31" s="529"/>
      <c r="F31" s="529"/>
      <c r="G31" s="530"/>
      <c r="H31" s="529"/>
      <c r="I31" s="529"/>
      <c r="J31" s="529"/>
      <c r="K31" s="529"/>
      <c r="L31" s="529"/>
      <c r="M31" s="529"/>
      <c r="N31" s="529"/>
      <c r="O31" s="529"/>
      <c r="P31" s="529"/>
      <c r="Q31" s="530"/>
      <c r="R31" s="529"/>
      <c r="S31" s="529"/>
      <c r="T31" s="529"/>
      <c r="U31" s="529"/>
      <c r="V31" s="529"/>
      <c r="W31" s="529"/>
      <c r="X31" s="529"/>
      <c r="Y31" s="529"/>
      <c r="Z31" s="530"/>
      <c r="AA31" s="529"/>
      <c r="AB31" s="529"/>
      <c r="AC31" s="529"/>
      <c r="AD31" s="529"/>
      <c r="AE31" s="529"/>
      <c r="AF31" s="529"/>
      <c r="AG31" s="529"/>
      <c r="AH31" s="529"/>
      <c r="AI31" s="529"/>
      <c r="AJ31" s="529"/>
      <c r="AK31" s="529"/>
      <c r="AL31" s="529"/>
      <c r="AM31" s="529"/>
      <c r="AN31" s="529"/>
      <c r="AO31" s="529"/>
      <c r="AP31" s="529"/>
      <c r="AQ31" s="529"/>
      <c r="AR31" s="529"/>
    </row>
    <row r="32" spans="1:44" s="89" customFormat="1" x14ac:dyDescent="0.35">
      <c r="A32" s="357" t="str">
        <f t="shared" si="2"/>
        <v>Eigenfaktor --&gt;</v>
      </c>
      <c r="C32" s="89" t="str">
        <f>CONCATENATE(EFs_Wärme[[#This Row],[Thema]]," - ",EFs_Wärme[[#This Row],[Bezeichnung]])</f>
        <v xml:space="preserve">Wärme - </v>
      </c>
      <c r="D32" s="530" t="str">
        <f t="shared" si="0"/>
        <v>Wärme</v>
      </c>
      <c r="E32" s="529"/>
      <c r="F32" s="529"/>
      <c r="G32" s="530"/>
      <c r="H32" s="529"/>
      <c r="I32" s="529"/>
      <c r="J32" s="529"/>
      <c r="K32" s="529"/>
      <c r="L32" s="529"/>
      <c r="M32" s="529"/>
      <c r="N32" s="529"/>
      <c r="O32" s="529"/>
      <c r="P32" s="529"/>
      <c r="Q32" s="530"/>
      <c r="R32" s="529"/>
      <c r="S32" s="529"/>
      <c r="T32" s="529"/>
      <c r="U32" s="529"/>
      <c r="V32" s="529"/>
      <c r="W32" s="529"/>
      <c r="X32" s="529"/>
      <c r="Y32" s="529"/>
      <c r="Z32" s="530"/>
      <c r="AA32" s="529"/>
      <c r="AB32" s="529"/>
      <c r="AC32" s="529"/>
      <c r="AD32" s="529"/>
      <c r="AE32" s="529"/>
      <c r="AF32" s="529"/>
      <c r="AG32" s="529"/>
      <c r="AH32" s="529"/>
      <c r="AI32" s="529"/>
      <c r="AJ32" s="529"/>
      <c r="AK32" s="529"/>
      <c r="AL32" s="529"/>
      <c r="AM32" s="529"/>
      <c r="AN32" s="529"/>
      <c r="AO32" s="529"/>
      <c r="AP32" s="529"/>
      <c r="AQ32" s="529"/>
      <c r="AR32" s="529"/>
    </row>
    <row r="33" spans="1:46" s="89" customFormat="1" x14ac:dyDescent="0.35">
      <c r="D33" s="529"/>
      <c r="E33" s="529"/>
      <c r="F33" s="529"/>
      <c r="G33" s="529"/>
      <c r="H33" s="529"/>
      <c r="I33" s="529"/>
      <c r="J33" s="529"/>
      <c r="K33" s="529"/>
      <c r="L33" s="529"/>
      <c r="M33" s="529"/>
      <c r="N33" s="529"/>
      <c r="O33" s="529"/>
      <c r="P33" s="529"/>
      <c r="Q33" s="529"/>
      <c r="R33" s="529"/>
      <c r="S33" s="529"/>
      <c r="T33" s="529"/>
      <c r="U33" s="529"/>
      <c r="V33" s="529"/>
      <c r="W33" s="529"/>
      <c r="X33" s="529"/>
      <c r="Y33" s="529"/>
      <c r="Z33" s="529"/>
      <c r="AA33" s="529"/>
      <c r="AB33" s="529"/>
      <c r="AC33" s="529"/>
      <c r="AD33" s="529"/>
      <c r="AE33" s="529"/>
      <c r="AF33" s="529"/>
      <c r="AG33" s="529"/>
      <c r="AH33" s="529"/>
      <c r="AI33" s="529"/>
      <c r="AJ33" s="529"/>
      <c r="AK33" s="529"/>
      <c r="AL33" s="529"/>
      <c r="AM33" s="529"/>
      <c r="AN33" s="529"/>
      <c r="AO33" s="529"/>
      <c r="AP33" s="529"/>
      <c r="AQ33" s="529"/>
      <c r="AR33" s="529"/>
    </row>
    <row r="34" spans="1:46" ht="58" x14ac:dyDescent="0.35">
      <c r="A34" s="685" t="s">
        <v>15</v>
      </c>
      <c r="B34" s="685"/>
      <c r="C34" s="151" t="s">
        <v>46</v>
      </c>
      <c r="D34" s="151" t="s">
        <v>0</v>
      </c>
      <c r="E34" s="151" t="s">
        <v>1</v>
      </c>
      <c r="F34" s="151" t="s">
        <v>53</v>
      </c>
      <c r="G34" s="151" t="s">
        <v>485</v>
      </c>
      <c r="H34" s="151" t="s">
        <v>435</v>
      </c>
      <c r="I34" s="151" t="s">
        <v>436</v>
      </c>
      <c r="J34" s="151" t="s">
        <v>437</v>
      </c>
      <c r="K34" s="151" t="s">
        <v>469</v>
      </c>
      <c r="L34" s="151" t="s">
        <v>468</v>
      </c>
      <c r="M34" s="151" t="s">
        <v>467</v>
      </c>
      <c r="N34" s="151" t="s">
        <v>466</v>
      </c>
      <c r="O34" s="151" t="s">
        <v>538</v>
      </c>
      <c r="P34" s="151" t="s">
        <v>438</v>
      </c>
      <c r="Q34" s="151" t="s">
        <v>486</v>
      </c>
      <c r="R34" s="151" t="s">
        <v>439</v>
      </c>
      <c r="S34" s="151" t="s">
        <v>440</v>
      </c>
      <c r="T34" s="151" t="s">
        <v>441</v>
      </c>
      <c r="U34" s="151" t="s">
        <v>470</v>
      </c>
      <c r="V34" s="151" t="s">
        <v>471</v>
      </c>
      <c r="W34" s="151" t="s">
        <v>472</v>
      </c>
      <c r="X34" s="151" t="s">
        <v>473</v>
      </c>
      <c r="Y34" s="151" t="s">
        <v>539</v>
      </c>
      <c r="Z34" s="151" t="s">
        <v>487</v>
      </c>
      <c r="AA34" s="151" t="s">
        <v>2</v>
      </c>
      <c r="AB34" s="151" t="s">
        <v>3</v>
      </c>
      <c r="AC34" s="151" t="s">
        <v>4</v>
      </c>
      <c r="AD34" s="151" t="s">
        <v>403</v>
      </c>
      <c r="AE34" s="151" t="s">
        <v>404</v>
      </c>
      <c r="AF34" s="151" t="s">
        <v>340</v>
      </c>
      <c r="AG34" s="151" t="s">
        <v>341</v>
      </c>
      <c r="AH34" s="151" t="s">
        <v>21</v>
      </c>
      <c r="AI34" s="151" t="s">
        <v>277</v>
      </c>
      <c r="AJ34" s="151" t="s">
        <v>278</v>
      </c>
      <c r="AK34" s="151" t="s">
        <v>279</v>
      </c>
    </row>
    <row r="35" spans="1:46" x14ac:dyDescent="0.35">
      <c r="A35"/>
      <c r="B35"/>
      <c r="C35" t="str">
        <f>CONCATENATE(EFs_Strom[[#This Row],[Thema]]," - ",EFs_Strom[[#This Row],[Bezeichnung]])</f>
        <v>Strom - Strombezug (Deutschland)</v>
      </c>
      <c r="D35" s="109" t="str">
        <f>"Strom"</f>
        <v>Strom</v>
      </c>
      <c r="E35" s="8" t="s">
        <v>475</v>
      </c>
      <c r="F35" s="8" t="s">
        <v>24</v>
      </c>
      <c r="G35" s="109">
        <v>0</v>
      </c>
      <c r="H35" s="8">
        <v>0</v>
      </c>
      <c r="I35" s="8">
        <v>0</v>
      </c>
      <c r="J35" s="8">
        <v>0</v>
      </c>
      <c r="K35" s="8">
        <v>0</v>
      </c>
      <c r="L35" s="8">
        <v>0</v>
      </c>
      <c r="M35" s="8">
        <v>0</v>
      </c>
      <c r="N35" s="8">
        <v>0</v>
      </c>
      <c r="O35" s="8">
        <v>0</v>
      </c>
      <c r="P35" s="8">
        <v>0</v>
      </c>
      <c r="Q35" s="109">
        <v>0.37158449999999998</v>
      </c>
      <c r="R35" s="8">
        <v>0.36338670000000001</v>
      </c>
      <c r="S35" s="8">
        <v>1.9440000000000001E-4</v>
      </c>
      <c r="T35" s="8">
        <v>1.04E-5</v>
      </c>
      <c r="U35" s="8">
        <v>0</v>
      </c>
      <c r="V35" s="8">
        <v>0</v>
      </c>
      <c r="W35" s="8">
        <v>0</v>
      </c>
      <c r="X35" s="8">
        <v>0</v>
      </c>
      <c r="Y35" s="8">
        <v>0</v>
      </c>
      <c r="Z35" s="109">
        <v>5.5327899999999999E-2</v>
      </c>
      <c r="AA35" s="8" t="s">
        <v>125</v>
      </c>
      <c r="AB35" s="153" t="s">
        <v>662</v>
      </c>
      <c r="AC35" s="153" t="s">
        <v>662</v>
      </c>
      <c r="AD35" s="8">
        <v>1</v>
      </c>
      <c r="AE35" s="8">
        <v>0</v>
      </c>
      <c r="AF35" s="8" t="s">
        <v>125</v>
      </c>
      <c r="AG35" s="8" t="s">
        <v>125</v>
      </c>
      <c r="AH35" s="153" t="s">
        <v>679</v>
      </c>
      <c r="AI35" s="8" t="s">
        <v>125</v>
      </c>
      <c r="AJ35" s="8" t="s">
        <v>84</v>
      </c>
      <c r="AK35" s="8" t="s">
        <v>86</v>
      </c>
    </row>
    <row r="36" spans="1:46" x14ac:dyDescent="0.35">
      <c r="A36"/>
      <c r="B36"/>
      <c r="C36" t="str">
        <f>CONCATENATE(EFs_Strom[[#This Row],[Thema]]," - ",EFs_Strom[[#This Row],[Bezeichnung]])</f>
        <v>Strom - Strom Eigenerzeugung (Photovoltaik)</v>
      </c>
      <c r="D36" s="109" t="str">
        <f t="shared" ref="D36:D47" si="3">"Strom"</f>
        <v>Strom</v>
      </c>
      <c r="E36" s="8" t="s">
        <v>105</v>
      </c>
      <c r="F36" s="8" t="s">
        <v>24</v>
      </c>
      <c r="G36" s="109">
        <v>0</v>
      </c>
      <c r="H36" s="8">
        <v>0</v>
      </c>
      <c r="I36" s="8">
        <v>0</v>
      </c>
      <c r="J36" s="8">
        <v>0</v>
      </c>
      <c r="K36" s="8">
        <v>0</v>
      </c>
      <c r="L36" s="8">
        <v>0</v>
      </c>
      <c r="M36" s="8">
        <v>0</v>
      </c>
      <c r="N36" s="8">
        <v>0</v>
      </c>
      <c r="O36" s="8">
        <v>0</v>
      </c>
      <c r="P36" s="8">
        <v>0</v>
      </c>
      <c r="Q36" s="109">
        <v>0</v>
      </c>
      <c r="R36" s="8">
        <v>0</v>
      </c>
      <c r="S36" s="8">
        <v>0</v>
      </c>
      <c r="T36" s="8">
        <v>0</v>
      </c>
      <c r="U36" s="8">
        <v>0</v>
      </c>
      <c r="V36" s="8">
        <v>0</v>
      </c>
      <c r="W36" s="8">
        <v>0</v>
      </c>
      <c r="X36" s="8">
        <v>0</v>
      </c>
      <c r="Y36" s="8">
        <v>0</v>
      </c>
      <c r="Z36" s="109">
        <v>5.6492000000000001E-2</v>
      </c>
      <c r="AA36" s="8" t="s">
        <v>125</v>
      </c>
      <c r="AB36" s="8" t="s">
        <v>125</v>
      </c>
      <c r="AC36" s="8" t="s">
        <v>662</v>
      </c>
      <c r="AD36" s="8">
        <v>1</v>
      </c>
      <c r="AE36" s="8">
        <v>0</v>
      </c>
      <c r="AF36" s="8">
        <v>0.74606539999999999</v>
      </c>
      <c r="AG36" s="8" t="s">
        <v>680</v>
      </c>
      <c r="AH36" s="8" t="s">
        <v>681</v>
      </c>
      <c r="AI36" s="8" t="s">
        <v>125</v>
      </c>
      <c r="AJ36" s="8" t="s">
        <v>125</v>
      </c>
      <c r="AK36" s="8" t="s">
        <v>86</v>
      </c>
    </row>
    <row r="37" spans="1:46" x14ac:dyDescent="0.35">
      <c r="A37"/>
      <c r="B37"/>
      <c r="C37" t="str">
        <f>CONCATENATE(EFs_Strom[[#This Row],[Thema]]," - ",EFs_Strom[[#This Row],[Bezeichnung]])</f>
        <v>Strom - Diesel-Notstromaggregat</v>
      </c>
      <c r="D37" s="109" t="str">
        <f t="shared" si="3"/>
        <v>Strom</v>
      </c>
      <c r="E37" s="8" t="s">
        <v>126</v>
      </c>
      <c r="F37" s="8" t="s">
        <v>25</v>
      </c>
      <c r="G37" s="109">
        <v>2.686194</v>
      </c>
      <c r="H37" s="8">
        <v>2.6495473</v>
      </c>
      <c r="I37" s="8">
        <v>1.2769999999999999E-4</v>
      </c>
      <c r="J37" s="8">
        <v>1.248E-4</v>
      </c>
      <c r="K37" s="8">
        <v>0</v>
      </c>
      <c r="L37" s="8">
        <v>0</v>
      </c>
      <c r="M37" s="8">
        <v>0</v>
      </c>
      <c r="N37" s="8">
        <v>0</v>
      </c>
      <c r="O37" s="8">
        <v>0</v>
      </c>
      <c r="P37" s="8">
        <v>0</v>
      </c>
      <c r="Q37" s="109">
        <v>0</v>
      </c>
      <c r="R37" s="8">
        <v>0</v>
      </c>
      <c r="S37" s="8">
        <v>0</v>
      </c>
      <c r="T37" s="8">
        <v>0</v>
      </c>
      <c r="U37" s="8">
        <v>0</v>
      </c>
      <c r="V37" s="8">
        <v>0</v>
      </c>
      <c r="W37" s="8">
        <v>0</v>
      </c>
      <c r="X37" s="8">
        <v>0</v>
      </c>
      <c r="Y37" s="8">
        <v>0</v>
      </c>
      <c r="Z37" s="109">
        <v>0.70501559999999996</v>
      </c>
      <c r="AA37" s="153" t="s">
        <v>662</v>
      </c>
      <c r="AB37" s="8" t="s">
        <v>125</v>
      </c>
      <c r="AC37" s="153" t="s">
        <v>662</v>
      </c>
      <c r="AD37" s="8">
        <v>9.903573333333334</v>
      </c>
      <c r="AE37" s="8" t="s">
        <v>662</v>
      </c>
      <c r="AF37" s="8" t="s">
        <v>125</v>
      </c>
      <c r="AG37" s="8" t="s">
        <v>125</v>
      </c>
      <c r="AH37" s="8" t="s">
        <v>682</v>
      </c>
      <c r="AI37" s="8" t="s">
        <v>84</v>
      </c>
      <c r="AJ37" s="8" t="s">
        <v>125</v>
      </c>
      <c r="AK37" s="8" t="s">
        <v>86</v>
      </c>
    </row>
    <row r="38" spans="1:46" s="89" customFormat="1" x14ac:dyDescent="0.35">
      <c r="A38" s="265" t="str">
        <f>"Eigenfaktor --&gt;"</f>
        <v>Eigenfaktor --&gt;</v>
      </c>
      <c r="B38"/>
      <c r="C38" s="89" t="str">
        <f>CONCATENATE(EFs_Strom[[#This Row],[Thema]]," - ",EFs_Strom[[#This Row],[Bezeichnung]])</f>
        <v xml:space="preserve">Strom - </v>
      </c>
      <c r="D38" s="109" t="str">
        <f t="shared" si="3"/>
        <v>Strom</v>
      </c>
      <c r="E38" s="529"/>
      <c r="F38" s="529"/>
      <c r="G38" s="530"/>
      <c r="H38" s="529"/>
      <c r="I38" s="529"/>
      <c r="J38" s="529"/>
      <c r="K38" s="529"/>
      <c r="L38" s="529"/>
      <c r="M38" s="529"/>
      <c r="N38" s="529"/>
      <c r="O38" s="529"/>
      <c r="P38" s="529"/>
      <c r="Q38" s="530"/>
      <c r="R38" s="529"/>
      <c r="S38" s="529"/>
      <c r="T38" s="529"/>
      <c r="U38" s="529"/>
      <c r="V38" s="529"/>
      <c r="W38" s="529"/>
      <c r="X38" s="529"/>
      <c r="Y38" s="529"/>
      <c r="Z38" s="530"/>
      <c r="AA38" s="529"/>
      <c r="AB38" s="529"/>
      <c r="AC38" s="529"/>
      <c r="AD38" s="529"/>
      <c r="AE38" s="529"/>
      <c r="AF38" s="529"/>
      <c r="AG38" s="529"/>
      <c r="AH38" s="529"/>
      <c r="AI38" s="529"/>
      <c r="AJ38" s="529"/>
      <c r="AK38" s="529"/>
      <c r="AL38" s="529"/>
      <c r="AM38" s="8"/>
      <c r="AN38" s="8"/>
      <c r="AO38" s="8"/>
      <c r="AP38" s="8"/>
      <c r="AQ38" s="8"/>
      <c r="AR38" s="8"/>
      <c r="AS38"/>
      <c r="AT38"/>
    </row>
    <row r="39" spans="1:46" s="89" customFormat="1" x14ac:dyDescent="0.35">
      <c r="A39" s="265" t="str">
        <f t="shared" ref="A39:A47" si="4">"Eigenfaktor --&gt;"</f>
        <v>Eigenfaktor --&gt;</v>
      </c>
      <c r="B39"/>
      <c r="C39" s="89" t="str">
        <f>CONCATENATE(EFs_Strom[[#This Row],[Thema]]," - ",EFs_Strom[[#This Row],[Bezeichnung]])</f>
        <v xml:space="preserve">Strom - </v>
      </c>
      <c r="D39" s="109" t="str">
        <f t="shared" si="3"/>
        <v>Strom</v>
      </c>
      <c r="E39" s="529"/>
      <c r="F39" s="529"/>
      <c r="G39" s="530"/>
      <c r="H39" s="529"/>
      <c r="I39" s="529"/>
      <c r="J39" s="529"/>
      <c r="K39" s="529"/>
      <c r="L39" s="529"/>
      <c r="M39" s="529"/>
      <c r="N39" s="529"/>
      <c r="O39" s="529"/>
      <c r="P39" s="529"/>
      <c r="Q39" s="530"/>
      <c r="R39" s="529"/>
      <c r="S39" s="529"/>
      <c r="T39" s="529"/>
      <c r="U39" s="529"/>
      <c r="V39" s="529"/>
      <c r="W39" s="529"/>
      <c r="X39" s="529"/>
      <c r="Y39" s="529"/>
      <c r="Z39" s="530"/>
      <c r="AA39" s="529"/>
      <c r="AB39" s="529"/>
      <c r="AC39" s="529"/>
      <c r="AD39" s="529"/>
      <c r="AE39" s="529"/>
      <c r="AF39" s="529"/>
      <c r="AG39" s="529"/>
      <c r="AH39" s="529"/>
      <c r="AI39" s="529"/>
      <c r="AJ39" s="529"/>
      <c r="AK39" s="529"/>
      <c r="AL39" s="529"/>
      <c r="AM39" s="8"/>
      <c r="AN39" s="8"/>
      <c r="AO39" s="8"/>
      <c r="AP39" s="8"/>
      <c r="AQ39" s="8"/>
      <c r="AR39" s="8"/>
      <c r="AS39"/>
      <c r="AT39"/>
    </row>
    <row r="40" spans="1:46" s="89" customFormat="1" x14ac:dyDescent="0.35">
      <c r="A40" s="265" t="str">
        <f t="shared" si="4"/>
        <v>Eigenfaktor --&gt;</v>
      </c>
      <c r="B40"/>
      <c r="C40" s="89" t="str">
        <f>CONCATENATE(EFs_Strom[[#This Row],[Thema]]," - ",EFs_Strom[[#This Row],[Bezeichnung]])</f>
        <v xml:space="preserve">Strom - </v>
      </c>
      <c r="D40" s="109" t="str">
        <f>"Strom"</f>
        <v>Strom</v>
      </c>
      <c r="E40" s="529"/>
      <c r="F40" s="529"/>
      <c r="G40" s="530"/>
      <c r="H40" s="529"/>
      <c r="I40" s="529"/>
      <c r="J40" s="529"/>
      <c r="K40" s="529"/>
      <c r="L40" s="529"/>
      <c r="M40" s="529"/>
      <c r="N40" s="529"/>
      <c r="O40" s="529"/>
      <c r="P40" s="529"/>
      <c r="Q40" s="530"/>
      <c r="R40" s="529"/>
      <c r="S40" s="529"/>
      <c r="T40" s="529"/>
      <c r="U40" s="529"/>
      <c r="V40" s="529"/>
      <c r="W40" s="529"/>
      <c r="X40" s="529"/>
      <c r="Y40" s="529"/>
      <c r="Z40" s="530"/>
      <c r="AA40" s="529"/>
      <c r="AB40" s="529"/>
      <c r="AC40" s="529"/>
      <c r="AD40" s="529"/>
      <c r="AE40" s="529"/>
      <c r="AF40" s="529"/>
      <c r="AG40" s="529"/>
      <c r="AH40" s="529"/>
      <c r="AI40" s="529"/>
      <c r="AJ40" s="529"/>
      <c r="AK40" s="529"/>
      <c r="AL40" s="529"/>
      <c r="AM40" s="8"/>
      <c r="AN40" s="8"/>
      <c r="AO40" s="8"/>
      <c r="AP40" s="8"/>
      <c r="AQ40" s="8"/>
      <c r="AR40" s="8"/>
      <c r="AS40"/>
      <c r="AT40"/>
    </row>
    <row r="41" spans="1:46" s="89" customFormat="1" x14ac:dyDescent="0.35">
      <c r="A41" s="265" t="str">
        <f t="shared" si="4"/>
        <v>Eigenfaktor --&gt;</v>
      </c>
      <c r="B41"/>
      <c r="C41" s="89" t="str">
        <f>CONCATENATE(EFs_Strom[[#This Row],[Thema]]," - ",EFs_Strom[[#This Row],[Bezeichnung]])</f>
        <v xml:space="preserve">Strom - </v>
      </c>
      <c r="D41" s="109" t="str">
        <f>"Strom"</f>
        <v>Strom</v>
      </c>
      <c r="E41" s="529"/>
      <c r="F41" s="529"/>
      <c r="G41" s="530"/>
      <c r="H41" s="529"/>
      <c r="I41" s="529"/>
      <c r="J41" s="529"/>
      <c r="K41" s="529"/>
      <c r="L41" s="529"/>
      <c r="M41" s="529"/>
      <c r="N41" s="529"/>
      <c r="O41" s="529"/>
      <c r="P41" s="529"/>
      <c r="Q41" s="530"/>
      <c r="R41" s="529"/>
      <c r="S41" s="529"/>
      <c r="T41" s="529"/>
      <c r="U41" s="529"/>
      <c r="V41" s="529"/>
      <c r="W41" s="529"/>
      <c r="X41" s="529"/>
      <c r="Y41" s="529"/>
      <c r="Z41" s="530"/>
      <c r="AA41" s="529"/>
      <c r="AB41" s="529"/>
      <c r="AC41" s="529"/>
      <c r="AD41" s="529"/>
      <c r="AE41" s="529"/>
      <c r="AF41" s="529"/>
      <c r="AG41" s="529"/>
      <c r="AH41" s="529"/>
      <c r="AI41" s="529"/>
      <c r="AJ41" s="529"/>
      <c r="AK41" s="529"/>
      <c r="AL41" s="529"/>
      <c r="AM41" s="8"/>
      <c r="AN41" s="8"/>
      <c r="AO41" s="8"/>
      <c r="AP41" s="8"/>
      <c r="AQ41" s="8"/>
      <c r="AR41" s="8"/>
      <c r="AS41"/>
      <c r="AT41"/>
    </row>
    <row r="42" spans="1:46" s="89" customFormat="1" x14ac:dyDescent="0.35">
      <c r="A42" s="265" t="str">
        <f t="shared" si="4"/>
        <v>Eigenfaktor --&gt;</v>
      </c>
      <c r="B42"/>
      <c r="C42" s="89" t="str">
        <f>CONCATENATE(EFs_Strom[[#This Row],[Thema]]," - ",EFs_Strom[[#This Row],[Bezeichnung]])</f>
        <v xml:space="preserve">Strom - </v>
      </c>
      <c r="D42" s="109" t="str">
        <f>"Strom"</f>
        <v>Strom</v>
      </c>
      <c r="E42" s="529"/>
      <c r="F42" s="529"/>
      <c r="G42" s="530"/>
      <c r="H42" s="529"/>
      <c r="I42" s="529"/>
      <c r="J42" s="529"/>
      <c r="K42" s="529"/>
      <c r="L42" s="529"/>
      <c r="M42" s="529"/>
      <c r="N42" s="529"/>
      <c r="O42" s="529"/>
      <c r="P42" s="529"/>
      <c r="Q42" s="530"/>
      <c r="R42" s="529"/>
      <c r="S42" s="529"/>
      <c r="T42" s="529"/>
      <c r="U42" s="529"/>
      <c r="V42" s="529"/>
      <c r="W42" s="529"/>
      <c r="X42" s="529"/>
      <c r="Y42" s="529"/>
      <c r="Z42" s="530"/>
      <c r="AA42" s="529"/>
      <c r="AB42" s="529"/>
      <c r="AC42" s="529"/>
      <c r="AD42" s="529"/>
      <c r="AE42" s="529"/>
      <c r="AF42" s="529"/>
      <c r="AG42" s="529"/>
      <c r="AH42" s="529"/>
      <c r="AI42" s="529"/>
      <c r="AJ42" s="529"/>
      <c r="AK42" s="529"/>
      <c r="AL42" s="529"/>
      <c r="AM42" s="8"/>
      <c r="AN42" s="8"/>
      <c r="AO42" s="8"/>
      <c r="AP42" s="8"/>
      <c r="AQ42" s="8"/>
      <c r="AR42" s="8"/>
      <c r="AS42"/>
      <c r="AT42"/>
    </row>
    <row r="43" spans="1:46" s="89" customFormat="1" x14ac:dyDescent="0.35">
      <c r="A43" s="265" t="str">
        <f t="shared" si="4"/>
        <v>Eigenfaktor --&gt;</v>
      </c>
      <c r="B43"/>
      <c r="C43" s="89" t="str">
        <f>CONCATENATE(EFs_Strom[[#This Row],[Thema]]," - ",EFs_Strom[[#This Row],[Bezeichnung]])</f>
        <v xml:space="preserve">Strom - </v>
      </c>
      <c r="D43" s="109" t="str">
        <f>"Strom"</f>
        <v>Strom</v>
      </c>
      <c r="E43" s="529"/>
      <c r="F43" s="529"/>
      <c r="G43" s="530"/>
      <c r="H43" s="529"/>
      <c r="I43" s="529"/>
      <c r="J43" s="529"/>
      <c r="K43" s="529"/>
      <c r="L43" s="529"/>
      <c r="M43" s="529"/>
      <c r="N43" s="529"/>
      <c r="O43" s="529"/>
      <c r="P43" s="529"/>
      <c r="Q43" s="530"/>
      <c r="R43" s="529"/>
      <c r="S43" s="529"/>
      <c r="T43" s="529"/>
      <c r="U43" s="529"/>
      <c r="V43" s="529"/>
      <c r="W43" s="529"/>
      <c r="X43" s="529"/>
      <c r="Y43" s="529"/>
      <c r="Z43" s="530"/>
      <c r="AA43" s="529"/>
      <c r="AB43" s="529"/>
      <c r="AC43" s="529"/>
      <c r="AD43" s="529"/>
      <c r="AE43" s="529"/>
      <c r="AF43" s="529"/>
      <c r="AG43" s="529"/>
      <c r="AH43" s="529"/>
      <c r="AI43" s="529"/>
      <c r="AJ43" s="529"/>
      <c r="AK43" s="529"/>
      <c r="AL43" s="529"/>
      <c r="AM43" s="8"/>
      <c r="AN43" s="8"/>
      <c r="AO43" s="8"/>
      <c r="AP43" s="8"/>
      <c r="AQ43" s="8"/>
      <c r="AR43" s="8"/>
      <c r="AS43"/>
      <c r="AT43"/>
    </row>
    <row r="44" spans="1:46" s="89" customFormat="1" x14ac:dyDescent="0.35">
      <c r="A44" s="265" t="str">
        <f t="shared" si="4"/>
        <v>Eigenfaktor --&gt;</v>
      </c>
      <c r="B44"/>
      <c r="C44" s="89" t="str">
        <f>CONCATENATE(EFs_Strom[[#This Row],[Thema]]," - ",EFs_Strom[[#This Row],[Bezeichnung]])</f>
        <v xml:space="preserve">Strom - </v>
      </c>
      <c r="D44" s="109" t="str">
        <f>"Strom"</f>
        <v>Strom</v>
      </c>
      <c r="E44" s="529"/>
      <c r="F44" s="529"/>
      <c r="G44" s="530"/>
      <c r="H44" s="529"/>
      <c r="I44" s="529"/>
      <c r="J44" s="529"/>
      <c r="K44" s="529"/>
      <c r="L44" s="529"/>
      <c r="M44" s="529"/>
      <c r="N44" s="529"/>
      <c r="O44" s="529"/>
      <c r="P44" s="529"/>
      <c r="Q44" s="530"/>
      <c r="R44" s="529"/>
      <c r="S44" s="529"/>
      <c r="T44" s="529"/>
      <c r="U44" s="529"/>
      <c r="V44" s="529"/>
      <c r="W44" s="529"/>
      <c r="X44" s="529"/>
      <c r="Y44" s="529"/>
      <c r="Z44" s="530"/>
      <c r="AA44" s="529"/>
      <c r="AB44" s="529"/>
      <c r="AC44" s="529"/>
      <c r="AD44" s="529"/>
      <c r="AE44" s="529"/>
      <c r="AF44" s="529"/>
      <c r="AG44" s="529"/>
      <c r="AH44" s="529"/>
      <c r="AI44" s="529"/>
      <c r="AJ44" s="529"/>
      <c r="AK44" s="529"/>
      <c r="AL44" s="529"/>
      <c r="AM44" s="8"/>
      <c r="AN44" s="8"/>
      <c r="AO44" s="8"/>
      <c r="AP44" s="8"/>
      <c r="AQ44" s="8"/>
      <c r="AR44" s="8"/>
      <c r="AS44"/>
      <c r="AT44"/>
    </row>
    <row r="45" spans="1:46" s="89" customFormat="1" x14ac:dyDescent="0.35">
      <c r="A45" s="265" t="str">
        <f t="shared" si="4"/>
        <v>Eigenfaktor --&gt;</v>
      </c>
      <c r="B45"/>
      <c r="C45" s="89" t="str">
        <f>CONCATENATE(EFs_Strom[[#This Row],[Thema]]," - ",EFs_Strom[[#This Row],[Bezeichnung]])</f>
        <v xml:space="preserve">Strom - </v>
      </c>
      <c r="D45" s="109" t="str">
        <f t="shared" si="3"/>
        <v>Strom</v>
      </c>
      <c r="E45" s="529"/>
      <c r="F45" s="529"/>
      <c r="G45" s="530"/>
      <c r="H45" s="529"/>
      <c r="I45" s="529"/>
      <c r="J45" s="529"/>
      <c r="K45" s="529"/>
      <c r="L45" s="529"/>
      <c r="M45" s="529"/>
      <c r="N45" s="529"/>
      <c r="O45" s="529"/>
      <c r="P45" s="529"/>
      <c r="Q45" s="530"/>
      <c r="R45" s="529"/>
      <c r="S45" s="529"/>
      <c r="T45" s="529"/>
      <c r="U45" s="529"/>
      <c r="V45" s="529"/>
      <c r="W45" s="529"/>
      <c r="X45" s="529"/>
      <c r="Y45" s="529"/>
      <c r="Z45" s="530"/>
      <c r="AA45" s="529"/>
      <c r="AB45" s="529"/>
      <c r="AC45" s="529"/>
      <c r="AD45" s="529"/>
      <c r="AE45" s="529"/>
      <c r="AF45" s="529"/>
      <c r="AG45" s="529"/>
      <c r="AH45" s="529"/>
      <c r="AI45" s="529"/>
      <c r="AJ45" s="529"/>
      <c r="AK45" s="529"/>
      <c r="AL45" s="529"/>
      <c r="AM45" s="8"/>
      <c r="AN45" s="8"/>
      <c r="AO45" s="8"/>
      <c r="AP45" s="8"/>
      <c r="AQ45" s="8"/>
      <c r="AR45" s="8"/>
      <c r="AS45"/>
      <c r="AT45"/>
    </row>
    <row r="46" spans="1:46" s="89" customFormat="1" x14ac:dyDescent="0.35">
      <c r="A46" s="357" t="str">
        <f t="shared" si="4"/>
        <v>Eigenfaktor --&gt;</v>
      </c>
      <c r="C46" s="89" t="str">
        <f>CONCATENATE(EFs_Strom[[#This Row],[Thema]]," - ",EFs_Strom[[#This Row],[Bezeichnung]])</f>
        <v xml:space="preserve">Strom - </v>
      </c>
      <c r="D46" s="530" t="str">
        <f t="shared" si="3"/>
        <v>Strom</v>
      </c>
      <c r="E46" s="529"/>
      <c r="F46" s="529"/>
      <c r="G46" s="530"/>
      <c r="H46" s="529"/>
      <c r="I46" s="529"/>
      <c r="J46" s="529"/>
      <c r="K46" s="529"/>
      <c r="L46" s="529"/>
      <c r="M46" s="529"/>
      <c r="N46" s="529"/>
      <c r="O46" s="529"/>
      <c r="P46" s="529"/>
      <c r="Q46" s="530"/>
      <c r="R46" s="529"/>
      <c r="S46" s="529"/>
      <c r="T46" s="529"/>
      <c r="U46" s="529"/>
      <c r="V46" s="529"/>
      <c r="W46" s="529"/>
      <c r="X46" s="529"/>
      <c r="Y46" s="529"/>
      <c r="Z46" s="530"/>
      <c r="AA46" s="529"/>
      <c r="AB46" s="529"/>
      <c r="AC46" s="529"/>
      <c r="AD46" s="529"/>
      <c r="AE46" s="529"/>
      <c r="AF46" s="529"/>
      <c r="AG46" s="529"/>
      <c r="AH46" s="529"/>
      <c r="AI46" s="529"/>
      <c r="AJ46" s="529"/>
      <c r="AK46" s="529"/>
      <c r="AL46" s="529"/>
      <c r="AM46" s="529"/>
      <c r="AN46" s="529"/>
      <c r="AO46" s="529"/>
      <c r="AP46" s="529"/>
      <c r="AQ46" s="529"/>
      <c r="AR46" s="529"/>
    </row>
    <row r="47" spans="1:46" s="89" customFormat="1" x14ac:dyDescent="0.35">
      <c r="A47" s="357" t="str">
        <f t="shared" si="4"/>
        <v>Eigenfaktor --&gt;</v>
      </c>
      <c r="C47" s="89" t="str">
        <f>CONCATENATE(EFs_Strom[[#This Row],[Thema]]," - ",EFs_Strom[[#This Row],[Bezeichnung]])</f>
        <v xml:space="preserve">Strom - </v>
      </c>
      <c r="D47" s="530" t="str">
        <f t="shared" si="3"/>
        <v>Strom</v>
      </c>
      <c r="E47" s="529"/>
      <c r="F47" s="529"/>
      <c r="G47" s="530"/>
      <c r="H47" s="529"/>
      <c r="I47" s="529"/>
      <c r="J47" s="529"/>
      <c r="K47" s="529"/>
      <c r="L47" s="529"/>
      <c r="M47" s="529"/>
      <c r="N47" s="529"/>
      <c r="O47" s="529"/>
      <c r="P47" s="529"/>
      <c r="Q47" s="530"/>
      <c r="R47" s="529"/>
      <c r="S47" s="529"/>
      <c r="T47" s="529"/>
      <c r="U47" s="529"/>
      <c r="V47" s="529"/>
      <c r="W47" s="529"/>
      <c r="X47" s="529"/>
      <c r="Y47" s="529"/>
      <c r="Z47" s="530"/>
      <c r="AA47" s="529"/>
      <c r="AB47" s="529"/>
      <c r="AC47" s="529"/>
      <c r="AD47" s="529"/>
      <c r="AE47" s="529"/>
      <c r="AF47" s="529"/>
      <c r="AG47" s="529"/>
      <c r="AH47" s="529"/>
      <c r="AI47" s="529"/>
      <c r="AJ47" s="529"/>
      <c r="AK47" s="529"/>
      <c r="AL47" s="529"/>
      <c r="AM47" s="529"/>
      <c r="AN47" s="529"/>
      <c r="AO47" s="529"/>
      <c r="AP47" s="529"/>
      <c r="AQ47" s="529"/>
      <c r="AR47" s="529"/>
    </row>
    <row r="48" spans="1:46" s="89" customFormat="1" x14ac:dyDescent="0.35">
      <c r="D48" s="529"/>
      <c r="E48" s="529"/>
      <c r="F48" s="529"/>
      <c r="G48" s="529"/>
      <c r="H48" s="529"/>
      <c r="I48" s="529"/>
      <c r="J48" s="529"/>
      <c r="K48" s="529"/>
      <c r="L48" s="529"/>
      <c r="M48" s="529"/>
      <c r="N48" s="529"/>
      <c r="O48" s="529"/>
      <c r="P48" s="529"/>
      <c r="Q48" s="529"/>
      <c r="R48" s="529"/>
      <c r="S48" s="529"/>
      <c r="T48" s="529"/>
      <c r="U48" s="529"/>
      <c r="V48" s="529"/>
      <c r="W48" s="529"/>
      <c r="X48" s="529"/>
      <c r="Y48" s="529"/>
      <c r="Z48" s="529"/>
      <c r="AA48" s="529"/>
      <c r="AB48" s="529"/>
      <c r="AC48" s="529"/>
      <c r="AD48" s="529"/>
      <c r="AE48" s="529"/>
      <c r="AF48" s="529"/>
      <c r="AG48" s="529"/>
      <c r="AH48" s="529"/>
      <c r="AI48" s="529"/>
      <c r="AJ48" s="529"/>
      <c r="AK48" s="529"/>
      <c r="AL48" s="529"/>
      <c r="AM48" s="529"/>
      <c r="AN48" s="529"/>
      <c r="AO48" s="529"/>
      <c r="AP48" s="529"/>
      <c r="AQ48" s="529"/>
      <c r="AR48" s="529"/>
    </row>
    <row r="49" spans="1:33" ht="58" x14ac:dyDescent="0.35">
      <c r="A49" s="685" t="s">
        <v>13</v>
      </c>
      <c r="B49" s="685"/>
      <c r="C49" s="151" t="s">
        <v>46</v>
      </c>
      <c r="D49" s="151" t="s">
        <v>0</v>
      </c>
      <c r="E49" s="151" t="s">
        <v>1</v>
      </c>
      <c r="F49" s="151" t="s">
        <v>53</v>
      </c>
      <c r="G49" s="151" t="s">
        <v>485</v>
      </c>
      <c r="H49" s="151" t="s">
        <v>435</v>
      </c>
      <c r="I49" s="151" t="s">
        <v>436</v>
      </c>
      <c r="J49" s="151" t="s">
        <v>437</v>
      </c>
      <c r="K49" s="151" t="s">
        <v>469</v>
      </c>
      <c r="L49" s="151" t="s">
        <v>468</v>
      </c>
      <c r="M49" s="151" t="s">
        <v>467</v>
      </c>
      <c r="N49" s="151" t="s">
        <v>466</v>
      </c>
      <c r="O49" s="151" t="s">
        <v>538</v>
      </c>
      <c r="P49" s="151" t="s">
        <v>438</v>
      </c>
      <c r="Q49" s="151" t="s">
        <v>486</v>
      </c>
      <c r="R49" s="151" t="s">
        <v>439</v>
      </c>
      <c r="S49" s="151" t="s">
        <v>440</v>
      </c>
      <c r="T49" s="151" t="s">
        <v>441</v>
      </c>
      <c r="U49" s="151" t="s">
        <v>470</v>
      </c>
      <c r="V49" s="151" t="s">
        <v>471</v>
      </c>
      <c r="W49" s="151" t="s">
        <v>472</v>
      </c>
      <c r="X49" s="151" t="s">
        <v>473</v>
      </c>
      <c r="Y49" s="151" t="s">
        <v>539</v>
      </c>
      <c r="Z49" s="151" t="s">
        <v>487</v>
      </c>
      <c r="AA49" s="151" t="s">
        <v>2</v>
      </c>
      <c r="AB49" s="151" t="s">
        <v>3</v>
      </c>
      <c r="AC49" s="151" t="s">
        <v>4</v>
      </c>
      <c r="AD49" s="151" t="s">
        <v>21</v>
      </c>
      <c r="AE49" s="151" t="s">
        <v>277</v>
      </c>
      <c r="AF49" s="151" t="s">
        <v>278</v>
      </c>
      <c r="AG49" s="151" t="s">
        <v>279</v>
      </c>
    </row>
    <row r="50" spans="1:33" x14ac:dyDescent="0.35">
      <c r="A50" s="685"/>
      <c r="B50" s="685"/>
      <c r="C50" t="str">
        <f>CONCATENATE(EFs_Kühlmittel[[#This Row],[Thema]]," - ",EFs_Kühlmittel[[#This Row],[Bezeichnung]])</f>
        <v>Kühl_und_Kältemittel - CFC-12</v>
      </c>
      <c r="D50" s="109" t="str">
        <f t="shared" ref="D50:D81" si="5">"Kühl_und_Kältemittel"</f>
        <v>Kühl_und_Kältemittel</v>
      </c>
      <c r="E50" s="8" t="s">
        <v>135</v>
      </c>
      <c r="F50" s="8" t="s">
        <v>26</v>
      </c>
      <c r="G50" s="109">
        <v>12500</v>
      </c>
      <c r="H50" s="8">
        <v>0</v>
      </c>
      <c r="I50" s="8">
        <v>0</v>
      </c>
      <c r="J50" s="8">
        <v>0</v>
      </c>
      <c r="K50" s="8">
        <v>0</v>
      </c>
      <c r="L50" s="8">
        <v>0</v>
      </c>
      <c r="M50" s="8">
        <v>0</v>
      </c>
      <c r="N50" s="8">
        <v>0</v>
      </c>
      <c r="O50" s="8">
        <v>1</v>
      </c>
      <c r="P50" s="8">
        <v>0</v>
      </c>
      <c r="Q50" s="109">
        <v>0</v>
      </c>
      <c r="R50" s="8">
        <v>0</v>
      </c>
      <c r="S50" s="8">
        <v>0</v>
      </c>
      <c r="T50" s="8">
        <v>0</v>
      </c>
      <c r="U50" s="8">
        <v>0</v>
      </c>
      <c r="V50" s="8">
        <v>0</v>
      </c>
      <c r="W50" s="8">
        <v>0</v>
      </c>
      <c r="X50" s="8">
        <v>0</v>
      </c>
      <c r="Y50" s="8">
        <v>0</v>
      </c>
      <c r="Z50" s="109">
        <v>0</v>
      </c>
      <c r="AA50" s="8" t="s">
        <v>683</v>
      </c>
      <c r="AB50" s="8" t="s">
        <v>125</v>
      </c>
      <c r="AC50" s="8" t="s">
        <v>125</v>
      </c>
      <c r="AD50" s="8" t="s">
        <v>125</v>
      </c>
      <c r="AE50" s="8" t="str">
        <f t="shared" ref="AE50:AE93" si="6">"Kat. 4"</f>
        <v>Kat. 4</v>
      </c>
      <c r="AF50" s="8" t="str">
        <f t="shared" ref="AF50:AG93" si="7">"-"</f>
        <v>-</v>
      </c>
      <c r="AG50" s="8" t="str">
        <f t="shared" si="7"/>
        <v>-</v>
      </c>
    </row>
    <row r="51" spans="1:33" x14ac:dyDescent="0.35">
      <c r="A51"/>
      <c r="B51"/>
      <c r="C51" t="str">
        <f>CONCATENATE(EFs_Kühlmittel[[#This Row],[Thema]]," - ",EFs_Kühlmittel[[#This Row],[Bezeichnung]])</f>
        <v>Kühl_und_Kältemittel - HCFC-123</v>
      </c>
      <c r="D51" s="109" t="str">
        <f t="shared" si="5"/>
        <v>Kühl_und_Kältemittel</v>
      </c>
      <c r="E51" s="8" t="s">
        <v>136</v>
      </c>
      <c r="F51" s="8" t="s">
        <v>26</v>
      </c>
      <c r="G51" s="109">
        <v>90.4</v>
      </c>
      <c r="H51" s="8">
        <v>0</v>
      </c>
      <c r="I51" s="8">
        <v>0</v>
      </c>
      <c r="J51" s="8">
        <v>0</v>
      </c>
      <c r="K51" s="8">
        <v>0</v>
      </c>
      <c r="L51" s="8">
        <v>0</v>
      </c>
      <c r="M51" s="8">
        <v>0</v>
      </c>
      <c r="N51" s="8">
        <v>0</v>
      </c>
      <c r="O51" s="8">
        <v>1</v>
      </c>
      <c r="P51" s="8">
        <v>0</v>
      </c>
      <c r="Q51" s="109">
        <v>0</v>
      </c>
      <c r="R51" s="8">
        <v>0</v>
      </c>
      <c r="S51" s="8">
        <v>0</v>
      </c>
      <c r="T51" s="8">
        <v>0</v>
      </c>
      <c r="U51" s="8">
        <v>0</v>
      </c>
      <c r="V51" s="8">
        <v>0</v>
      </c>
      <c r="W51" s="8">
        <v>0</v>
      </c>
      <c r="X51" s="8">
        <v>0</v>
      </c>
      <c r="Y51" s="8">
        <v>0</v>
      </c>
      <c r="Z51" s="109">
        <v>0</v>
      </c>
      <c r="AA51" s="8" t="s">
        <v>683</v>
      </c>
      <c r="AB51" s="8" t="s">
        <v>125</v>
      </c>
      <c r="AC51" s="8" t="s">
        <v>125</v>
      </c>
      <c r="AD51" s="8" t="s">
        <v>125</v>
      </c>
      <c r="AE51" s="8" t="str">
        <f t="shared" si="6"/>
        <v>Kat. 4</v>
      </c>
      <c r="AF51" s="8" t="str">
        <f t="shared" si="7"/>
        <v>-</v>
      </c>
      <c r="AG51" s="8" t="str">
        <f t="shared" si="7"/>
        <v>-</v>
      </c>
    </row>
    <row r="52" spans="1:33" x14ac:dyDescent="0.35">
      <c r="A52"/>
      <c r="B52"/>
      <c r="C52" t="str">
        <f>CONCATENATE(EFs_Kühlmittel[[#This Row],[Thema]]," - ",EFs_Kühlmittel[[#This Row],[Bezeichnung]])</f>
        <v>Kühl_und_Kältemittel - HCFC-22</v>
      </c>
      <c r="D52" s="109" t="str">
        <f t="shared" si="5"/>
        <v>Kühl_und_Kältemittel</v>
      </c>
      <c r="E52" s="8" t="s">
        <v>137</v>
      </c>
      <c r="F52" s="8" t="s">
        <v>26</v>
      </c>
      <c r="G52" s="109">
        <v>1960</v>
      </c>
      <c r="H52" s="8">
        <v>0</v>
      </c>
      <c r="I52" s="8">
        <v>0</v>
      </c>
      <c r="J52" s="8">
        <v>0</v>
      </c>
      <c r="K52" s="8">
        <v>0</v>
      </c>
      <c r="L52" s="8">
        <v>0</v>
      </c>
      <c r="M52" s="8">
        <v>0</v>
      </c>
      <c r="N52" s="8">
        <v>0</v>
      </c>
      <c r="O52" s="8">
        <v>1</v>
      </c>
      <c r="P52" s="8">
        <v>0</v>
      </c>
      <c r="Q52" s="109">
        <v>0</v>
      </c>
      <c r="R52" s="8">
        <v>0</v>
      </c>
      <c r="S52" s="8">
        <v>0</v>
      </c>
      <c r="T52" s="8">
        <v>0</v>
      </c>
      <c r="U52" s="8">
        <v>0</v>
      </c>
      <c r="V52" s="8">
        <v>0</v>
      </c>
      <c r="W52" s="8">
        <v>0</v>
      </c>
      <c r="X52" s="8">
        <v>0</v>
      </c>
      <c r="Y52" s="8">
        <v>0</v>
      </c>
      <c r="Z52" s="109">
        <v>0</v>
      </c>
      <c r="AA52" s="8" t="s">
        <v>683</v>
      </c>
      <c r="AB52" s="8" t="s">
        <v>125</v>
      </c>
      <c r="AC52" s="8" t="s">
        <v>125</v>
      </c>
      <c r="AD52" s="8" t="s">
        <v>125</v>
      </c>
      <c r="AE52" s="8" t="str">
        <f t="shared" si="6"/>
        <v>Kat. 4</v>
      </c>
      <c r="AF52" s="8" t="str">
        <f t="shared" si="7"/>
        <v>-</v>
      </c>
      <c r="AG52" s="8" t="str">
        <f t="shared" si="7"/>
        <v>-</v>
      </c>
    </row>
    <row r="53" spans="1:33" x14ac:dyDescent="0.35">
      <c r="A53"/>
      <c r="B53"/>
      <c r="C53" t="str">
        <f>CONCATENATE(EFs_Kühlmittel[[#This Row],[Thema]]," - ",EFs_Kühlmittel[[#This Row],[Bezeichnung]])</f>
        <v>Kühl_und_Kältemittel - HFC-125</v>
      </c>
      <c r="D53" s="109" t="str">
        <f t="shared" si="5"/>
        <v>Kühl_und_Kältemittel</v>
      </c>
      <c r="E53" s="8" t="s">
        <v>138</v>
      </c>
      <c r="F53" s="8" t="s">
        <v>26</v>
      </c>
      <c r="G53" s="109">
        <v>3740</v>
      </c>
      <c r="H53" s="8">
        <v>0</v>
      </c>
      <c r="I53" s="8">
        <v>0</v>
      </c>
      <c r="J53" s="8">
        <v>0</v>
      </c>
      <c r="K53" s="8">
        <v>1</v>
      </c>
      <c r="L53" s="8">
        <v>0</v>
      </c>
      <c r="M53" s="8">
        <v>0</v>
      </c>
      <c r="N53" s="8">
        <v>0</v>
      </c>
      <c r="O53" s="8">
        <v>0</v>
      </c>
      <c r="P53" s="8">
        <v>0</v>
      </c>
      <c r="Q53" s="109">
        <v>0</v>
      </c>
      <c r="R53" s="8">
        <v>0</v>
      </c>
      <c r="S53" s="8">
        <v>0</v>
      </c>
      <c r="T53" s="8">
        <v>0</v>
      </c>
      <c r="U53" s="8">
        <v>0</v>
      </c>
      <c r="V53" s="8">
        <v>0</v>
      </c>
      <c r="W53" s="8">
        <v>0</v>
      </c>
      <c r="X53" s="8">
        <v>0</v>
      </c>
      <c r="Y53" s="8">
        <v>0</v>
      </c>
      <c r="Z53" s="109">
        <v>0</v>
      </c>
      <c r="AA53" s="8" t="s">
        <v>683</v>
      </c>
      <c r="AB53" s="8" t="s">
        <v>125</v>
      </c>
      <c r="AC53" s="8" t="s">
        <v>125</v>
      </c>
      <c r="AD53" s="8" t="s">
        <v>125</v>
      </c>
      <c r="AE53" s="8" t="str">
        <f t="shared" si="6"/>
        <v>Kat. 4</v>
      </c>
      <c r="AF53" s="8" t="str">
        <f t="shared" si="7"/>
        <v>-</v>
      </c>
      <c r="AG53" s="8" t="str">
        <f t="shared" si="7"/>
        <v>-</v>
      </c>
    </row>
    <row r="54" spans="1:33" x14ac:dyDescent="0.35">
      <c r="A54"/>
      <c r="B54"/>
      <c r="C54" t="str">
        <f>CONCATENATE(EFs_Kühlmittel[[#This Row],[Thema]]," - ",EFs_Kühlmittel[[#This Row],[Bezeichnung]])</f>
        <v>Kühl_und_Kältemittel - HFC-134a</v>
      </c>
      <c r="D54" s="109" t="str">
        <f t="shared" si="5"/>
        <v>Kühl_und_Kältemittel</v>
      </c>
      <c r="E54" s="8" t="s">
        <v>139</v>
      </c>
      <c r="F54" s="8" t="s">
        <v>26</v>
      </c>
      <c r="G54" s="109">
        <v>1530</v>
      </c>
      <c r="H54" s="8">
        <v>0</v>
      </c>
      <c r="I54" s="8">
        <v>0</v>
      </c>
      <c r="J54" s="8">
        <v>0</v>
      </c>
      <c r="K54" s="8">
        <v>1</v>
      </c>
      <c r="L54" s="8">
        <v>0</v>
      </c>
      <c r="M54" s="8">
        <v>0</v>
      </c>
      <c r="N54" s="8">
        <v>0</v>
      </c>
      <c r="O54" s="8">
        <v>0</v>
      </c>
      <c r="P54" s="8">
        <v>0</v>
      </c>
      <c r="Q54" s="109">
        <v>0</v>
      </c>
      <c r="R54" s="8">
        <v>0</v>
      </c>
      <c r="S54" s="8">
        <v>0</v>
      </c>
      <c r="T54" s="8">
        <v>0</v>
      </c>
      <c r="U54" s="8">
        <v>0</v>
      </c>
      <c r="V54" s="8">
        <v>0</v>
      </c>
      <c r="W54" s="8">
        <v>0</v>
      </c>
      <c r="X54" s="8">
        <v>0</v>
      </c>
      <c r="Y54" s="8">
        <v>0</v>
      </c>
      <c r="Z54" s="109">
        <v>0</v>
      </c>
      <c r="AA54" s="8" t="s">
        <v>683</v>
      </c>
      <c r="AB54" s="8" t="s">
        <v>125</v>
      </c>
      <c r="AC54" s="8" t="s">
        <v>125</v>
      </c>
      <c r="AD54" s="8" t="s">
        <v>125</v>
      </c>
      <c r="AE54" s="8" t="str">
        <f t="shared" si="6"/>
        <v>Kat. 4</v>
      </c>
      <c r="AF54" s="8" t="str">
        <f t="shared" si="7"/>
        <v>-</v>
      </c>
      <c r="AG54" s="8" t="str">
        <f t="shared" si="7"/>
        <v>-</v>
      </c>
    </row>
    <row r="55" spans="1:33" x14ac:dyDescent="0.35">
      <c r="A55"/>
      <c r="B55"/>
      <c r="C55" t="str">
        <f>CONCATENATE(EFs_Kühlmittel[[#This Row],[Thema]]," - ",EFs_Kühlmittel[[#This Row],[Bezeichnung]])</f>
        <v>Kühl_und_Kältemittel - HFC-143a</v>
      </c>
      <c r="D55" s="109" t="str">
        <f t="shared" si="5"/>
        <v>Kühl_und_Kältemittel</v>
      </c>
      <c r="E55" s="8" t="s">
        <v>140</v>
      </c>
      <c r="F55" s="8" t="s">
        <v>26</v>
      </c>
      <c r="G55" s="109">
        <v>5810</v>
      </c>
      <c r="H55" s="8">
        <v>0</v>
      </c>
      <c r="I55" s="8">
        <v>0</v>
      </c>
      <c r="J55" s="8">
        <v>0</v>
      </c>
      <c r="K55" s="8">
        <v>1</v>
      </c>
      <c r="L55" s="8">
        <v>0</v>
      </c>
      <c r="M55" s="8">
        <v>0</v>
      </c>
      <c r="N55" s="8">
        <v>0</v>
      </c>
      <c r="O55" s="8">
        <v>0</v>
      </c>
      <c r="P55" s="8">
        <v>0</v>
      </c>
      <c r="Q55" s="109">
        <v>0</v>
      </c>
      <c r="R55" s="8">
        <v>0</v>
      </c>
      <c r="S55" s="8">
        <v>0</v>
      </c>
      <c r="T55" s="8">
        <v>0</v>
      </c>
      <c r="U55" s="8">
        <v>0</v>
      </c>
      <c r="V55" s="8">
        <v>0</v>
      </c>
      <c r="W55" s="8">
        <v>0</v>
      </c>
      <c r="X55" s="8">
        <v>0</v>
      </c>
      <c r="Y55" s="8">
        <v>0</v>
      </c>
      <c r="Z55" s="109">
        <v>0</v>
      </c>
      <c r="AA55" s="8" t="s">
        <v>683</v>
      </c>
      <c r="AB55" s="8" t="s">
        <v>125</v>
      </c>
      <c r="AC55" s="8" t="s">
        <v>125</v>
      </c>
      <c r="AD55" s="8" t="s">
        <v>125</v>
      </c>
      <c r="AE55" s="8" t="str">
        <f t="shared" si="6"/>
        <v>Kat. 4</v>
      </c>
      <c r="AF55" s="8" t="str">
        <f t="shared" si="7"/>
        <v>-</v>
      </c>
      <c r="AG55" s="8" t="str">
        <f t="shared" si="7"/>
        <v>-</v>
      </c>
    </row>
    <row r="56" spans="1:33" x14ac:dyDescent="0.35">
      <c r="A56"/>
      <c r="B56"/>
      <c r="C56" t="str">
        <f>CONCATENATE(EFs_Kühlmittel[[#This Row],[Thema]]," - ",EFs_Kühlmittel[[#This Row],[Bezeichnung]])</f>
        <v>Kühl_und_Kältemittel - HFC-227ea</v>
      </c>
      <c r="D56" s="109" t="str">
        <f t="shared" si="5"/>
        <v>Kühl_und_Kältemittel</v>
      </c>
      <c r="E56" s="8" t="s">
        <v>141</v>
      </c>
      <c r="F56" s="8" t="s">
        <v>26</v>
      </c>
      <c r="G56" s="109">
        <v>3600</v>
      </c>
      <c r="H56" s="8">
        <v>0</v>
      </c>
      <c r="I56" s="8">
        <v>0</v>
      </c>
      <c r="J56" s="8">
        <v>0</v>
      </c>
      <c r="K56" s="8">
        <v>1</v>
      </c>
      <c r="L56" s="8">
        <v>0</v>
      </c>
      <c r="M56" s="8">
        <v>0</v>
      </c>
      <c r="N56" s="8">
        <v>0</v>
      </c>
      <c r="O56" s="8">
        <v>0</v>
      </c>
      <c r="P56" s="8">
        <v>0</v>
      </c>
      <c r="Q56" s="109">
        <v>0</v>
      </c>
      <c r="R56" s="8">
        <v>0</v>
      </c>
      <c r="S56" s="8">
        <v>0</v>
      </c>
      <c r="T56" s="8">
        <v>0</v>
      </c>
      <c r="U56" s="8">
        <v>0</v>
      </c>
      <c r="V56" s="8">
        <v>0</v>
      </c>
      <c r="W56" s="8">
        <v>0</v>
      </c>
      <c r="X56" s="8">
        <v>0</v>
      </c>
      <c r="Y56" s="8">
        <v>0</v>
      </c>
      <c r="Z56" s="109">
        <v>0</v>
      </c>
      <c r="AA56" s="8" t="s">
        <v>683</v>
      </c>
      <c r="AB56" s="8" t="s">
        <v>125</v>
      </c>
      <c r="AC56" s="8" t="s">
        <v>125</v>
      </c>
      <c r="AD56" s="8" t="s">
        <v>125</v>
      </c>
      <c r="AE56" s="8" t="str">
        <f t="shared" si="6"/>
        <v>Kat. 4</v>
      </c>
      <c r="AF56" s="8" t="str">
        <f t="shared" si="7"/>
        <v>-</v>
      </c>
      <c r="AG56" s="8" t="str">
        <f t="shared" si="7"/>
        <v>-</v>
      </c>
    </row>
    <row r="57" spans="1:33" x14ac:dyDescent="0.35">
      <c r="A57"/>
      <c r="B57"/>
      <c r="C57" t="str">
        <f>CONCATENATE(EFs_Kühlmittel[[#This Row],[Thema]]," - ",EFs_Kühlmittel[[#This Row],[Bezeichnung]])</f>
        <v>Kühl_und_Kältemittel - HFC-23</v>
      </c>
      <c r="D57" s="109" t="str">
        <f t="shared" si="5"/>
        <v>Kühl_und_Kältemittel</v>
      </c>
      <c r="E57" s="8" t="s">
        <v>142</v>
      </c>
      <c r="F57" s="8" t="s">
        <v>26</v>
      </c>
      <c r="G57" s="109">
        <v>14600</v>
      </c>
      <c r="H57" s="8">
        <v>0</v>
      </c>
      <c r="I57" s="8">
        <v>0</v>
      </c>
      <c r="J57" s="8">
        <v>0</v>
      </c>
      <c r="K57" s="8">
        <v>1</v>
      </c>
      <c r="L57" s="8">
        <v>0</v>
      </c>
      <c r="M57" s="8">
        <v>0</v>
      </c>
      <c r="N57" s="8">
        <v>0</v>
      </c>
      <c r="O57" s="8">
        <v>0</v>
      </c>
      <c r="P57" s="8">
        <v>0</v>
      </c>
      <c r="Q57" s="109">
        <v>0</v>
      </c>
      <c r="R57" s="8">
        <v>0</v>
      </c>
      <c r="S57" s="8">
        <v>0</v>
      </c>
      <c r="T57" s="8">
        <v>0</v>
      </c>
      <c r="U57" s="8">
        <v>0</v>
      </c>
      <c r="V57" s="8">
        <v>0</v>
      </c>
      <c r="W57" s="8">
        <v>0</v>
      </c>
      <c r="X57" s="8">
        <v>0</v>
      </c>
      <c r="Y57" s="8">
        <v>0</v>
      </c>
      <c r="Z57" s="109">
        <v>0</v>
      </c>
      <c r="AA57" s="8" t="s">
        <v>683</v>
      </c>
      <c r="AB57" s="8" t="s">
        <v>125</v>
      </c>
      <c r="AC57" s="8" t="s">
        <v>125</v>
      </c>
      <c r="AD57" s="8" t="s">
        <v>125</v>
      </c>
      <c r="AE57" s="8" t="str">
        <f t="shared" si="6"/>
        <v>Kat. 4</v>
      </c>
      <c r="AF57" s="8" t="str">
        <f t="shared" si="7"/>
        <v>-</v>
      </c>
      <c r="AG57" s="8" t="str">
        <f t="shared" si="7"/>
        <v>-</v>
      </c>
    </row>
    <row r="58" spans="1:33" x14ac:dyDescent="0.35">
      <c r="A58"/>
      <c r="B58"/>
      <c r="C58" t="str">
        <f>CONCATENATE(EFs_Kühlmittel[[#This Row],[Thema]]," - ",EFs_Kühlmittel[[#This Row],[Bezeichnung]])</f>
        <v>Kühl_und_Kältemittel - HFC-32</v>
      </c>
      <c r="D58" s="109" t="str">
        <f t="shared" si="5"/>
        <v>Kühl_und_Kältemittel</v>
      </c>
      <c r="E58" s="8" t="s">
        <v>143</v>
      </c>
      <c r="F58" s="8" t="s">
        <v>26</v>
      </c>
      <c r="G58" s="109">
        <v>771</v>
      </c>
      <c r="H58" s="8">
        <v>0</v>
      </c>
      <c r="I58" s="8">
        <v>0</v>
      </c>
      <c r="J58" s="8">
        <v>0</v>
      </c>
      <c r="K58" s="8">
        <v>1</v>
      </c>
      <c r="L58" s="8">
        <v>0</v>
      </c>
      <c r="M58" s="8">
        <v>0</v>
      </c>
      <c r="N58" s="8">
        <v>0</v>
      </c>
      <c r="O58" s="8">
        <v>0</v>
      </c>
      <c r="P58" s="8">
        <v>0</v>
      </c>
      <c r="Q58" s="109">
        <v>0</v>
      </c>
      <c r="R58" s="8">
        <v>0</v>
      </c>
      <c r="S58" s="8">
        <v>0</v>
      </c>
      <c r="T58" s="8">
        <v>0</v>
      </c>
      <c r="U58" s="8">
        <v>0</v>
      </c>
      <c r="V58" s="8">
        <v>0</v>
      </c>
      <c r="W58" s="8">
        <v>0</v>
      </c>
      <c r="X58" s="8">
        <v>0</v>
      </c>
      <c r="Y58" s="8">
        <v>0</v>
      </c>
      <c r="Z58" s="109">
        <v>0</v>
      </c>
      <c r="AA58" s="8" t="s">
        <v>683</v>
      </c>
      <c r="AB58" s="8" t="s">
        <v>125</v>
      </c>
      <c r="AC58" s="8" t="s">
        <v>125</v>
      </c>
      <c r="AD58" s="8" t="s">
        <v>125</v>
      </c>
      <c r="AE58" s="8" t="str">
        <f t="shared" si="6"/>
        <v>Kat. 4</v>
      </c>
      <c r="AF58" s="8" t="str">
        <f t="shared" si="7"/>
        <v>-</v>
      </c>
      <c r="AG58" s="8" t="str">
        <f t="shared" si="7"/>
        <v>-</v>
      </c>
    </row>
    <row r="59" spans="1:33" x14ac:dyDescent="0.35">
      <c r="A59"/>
      <c r="B59"/>
      <c r="C59" t="str">
        <f>CONCATENATE(EFs_Kühlmittel[[#This Row],[Thema]]," - ",EFs_Kühlmittel[[#This Row],[Bezeichnung]])</f>
        <v>Kühl_und_Kältemittel - HFO-1234yf</v>
      </c>
      <c r="D59" s="109" t="str">
        <f t="shared" si="5"/>
        <v>Kühl_und_Kältemittel</v>
      </c>
      <c r="E59" s="8" t="s">
        <v>144</v>
      </c>
      <c r="F59" s="8" t="s">
        <v>26</v>
      </c>
      <c r="G59" s="109">
        <v>0.501</v>
      </c>
      <c r="H59" s="8">
        <v>0</v>
      </c>
      <c r="I59" s="8">
        <v>0</v>
      </c>
      <c r="J59" s="8">
        <v>0</v>
      </c>
      <c r="K59" s="8">
        <v>0</v>
      </c>
      <c r="L59" s="8">
        <v>0</v>
      </c>
      <c r="M59" s="8">
        <v>0</v>
      </c>
      <c r="N59" s="8">
        <v>0</v>
      </c>
      <c r="O59" s="8">
        <v>1</v>
      </c>
      <c r="P59" s="8">
        <v>0</v>
      </c>
      <c r="Q59" s="109">
        <v>0</v>
      </c>
      <c r="R59" s="8">
        <v>0</v>
      </c>
      <c r="S59" s="8">
        <v>0</v>
      </c>
      <c r="T59" s="8">
        <v>0</v>
      </c>
      <c r="U59" s="8">
        <v>0</v>
      </c>
      <c r="V59" s="8">
        <v>0</v>
      </c>
      <c r="W59" s="8">
        <v>0</v>
      </c>
      <c r="X59" s="8">
        <v>0</v>
      </c>
      <c r="Y59" s="8">
        <v>0</v>
      </c>
      <c r="Z59" s="109">
        <v>0</v>
      </c>
      <c r="AA59" s="8" t="s">
        <v>683</v>
      </c>
      <c r="AB59" s="8" t="s">
        <v>125</v>
      </c>
      <c r="AC59" s="8" t="s">
        <v>125</v>
      </c>
      <c r="AD59" s="8" t="s">
        <v>125</v>
      </c>
      <c r="AE59" s="8" t="str">
        <f t="shared" si="6"/>
        <v>Kat. 4</v>
      </c>
      <c r="AF59" s="8" t="str">
        <f t="shared" si="7"/>
        <v>-</v>
      </c>
      <c r="AG59" s="8" t="str">
        <f t="shared" si="7"/>
        <v>-</v>
      </c>
    </row>
    <row r="60" spans="1:33" x14ac:dyDescent="0.35">
      <c r="A60"/>
      <c r="B60"/>
      <c r="C60" t="str">
        <f>CONCATENATE(EFs_Kühlmittel[[#This Row],[Thema]]," - ",EFs_Kühlmittel[[#This Row],[Bezeichnung]])</f>
        <v>Kühl_und_Kältemittel - HFO-1234ze(Z)</v>
      </c>
      <c r="D60" s="109" t="str">
        <f t="shared" si="5"/>
        <v>Kühl_und_Kältemittel</v>
      </c>
      <c r="E60" s="8" t="s">
        <v>145</v>
      </c>
      <c r="F60" s="8" t="s">
        <v>26</v>
      </c>
      <c r="G60" s="109">
        <v>0.315</v>
      </c>
      <c r="H60" s="8">
        <v>0</v>
      </c>
      <c r="I60" s="8">
        <v>0</v>
      </c>
      <c r="J60" s="8">
        <v>0</v>
      </c>
      <c r="K60" s="8">
        <v>0</v>
      </c>
      <c r="L60" s="8">
        <v>0</v>
      </c>
      <c r="M60" s="8">
        <v>0</v>
      </c>
      <c r="N60" s="8">
        <v>0</v>
      </c>
      <c r="O60" s="8">
        <v>1</v>
      </c>
      <c r="P60" s="8">
        <v>0</v>
      </c>
      <c r="Q60" s="109">
        <v>0</v>
      </c>
      <c r="R60" s="8">
        <v>0</v>
      </c>
      <c r="S60" s="8">
        <v>0</v>
      </c>
      <c r="T60" s="8">
        <v>0</v>
      </c>
      <c r="U60" s="8">
        <v>0</v>
      </c>
      <c r="V60" s="8">
        <v>0</v>
      </c>
      <c r="W60" s="8">
        <v>0</v>
      </c>
      <c r="X60" s="8">
        <v>0</v>
      </c>
      <c r="Y60" s="8">
        <v>0</v>
      </c>
      <c r="Z60" s="109">
        <v>0</v>
      </c>
      <c r="AA60" s="8" t="s">
        <v>683</v>
      </c>
      <c r="AB60" s="8" t="s">
        <v>125</v>
      </c>
      <c r="AC60" s="8" t="s">
        <v>125</v>
      </c>
      <c r="AD60" s="8" t="s">
        <v>125</v>
      </c>
      <c r="AE60" s="8" t="str">
        <f t="shared" si="6"/>
        <v>Kat. 4</v>
      </c>
      <c r="AF60" s="8" t="str">
        <f t="shared" si="7"/>
        <v>-</v>
      </c>
      <c r="AG60" s="8" t="str">
        <f t="shared" si="7"/>
        <v>-</v>
      </c>
    </row>
    <row r="61" spans="1:33" x14ac:dyDescent="0.35">
      <c r="A61"/>
      <c r="B61"/>
      <c r="C61" t="str">
        <f>CONCATENATE(EFs_Kühlmittel[[#This Row],[Thema]]," - ",EFs_Kühlmittel[[#This Row],[Bezeichnung]])</f>
        <v>Kühl_und_Kältemittel - PFC-116</v>
      </c>
      <c r="D61" s="109" t="str">
        <f t="shared" si="5"/>
        <v>Kühl_und_Kältemittel</v>
      </c>
      <c r="E61" s="8" t="s">
        <v>153</v>
      </c>
      <c r="F61" s="8" t="s">
        <v>26</v>
      </c>
      <c r="G61" s="109">
        <v>12400</v>
      </c>
      <c r="H61" s="8">
        <v>0</v>
      </c>
      <c r="I61" s="8">
        <v>0</v>
      </c>
      <c r="J61" s="8">
        <v>0</v>
      </c>
      <c r="K61" s="8">
        <v>0</v>
      </c>
      <c r="L61" s="8">
        <v>1</v>
      </c>
      <c r="M61" s="8">
        <v>0</v>
      </c>
      <c r="N61" s="8">
        <v>0</v>
      </c>
      <c r="O61" s="8">
        <v>0</v>
      </c>
      <c r="P61" s="8">
        <v>0</v>
      </c>
      <c r="Q61" s="109">
        <v>0</v>
      </c>
      <c r="R61" s="8">
        <v>0</v>
      </c>
      <c r="S61" s="8">
        <v>0</v>
      </c>
      <c r="T61" s="8">
        <v>0</v>
      </c>
      <c r="U61" s="8">
        <v>0</v>
      </c>
      <c r="V61" s="8">
        <v>0</v>
      </c>
      <c r="W61" s="8">
        <v>0</v>
      </c>
      <c r="X61" s="8">
        <v>0</v>
      </c>
      <c r="Y61" s="8">
        <v>0</v>
      </c>
      <c r="Z61" s="109">
        <v>0</v>
      </c>
      <c r="AA61" s="8" t="s">
        <v>683</v>
      </c>
      <c r="AB61" s="8" t="s">
        <v>125</v>
      </c>
      <c r="AC61" s="8" t="s">
        <v>125</v>
      </c>
      <c r="AD61" s="8" t="s">
        <v>125</v>
      </c>
      <c r="AE61" s="8" t="str">
        <f t="shared" si="6"/>
        <v>Kat. 4</v>
      </c>
      <c r="AF61" s="8" t="str">
        <f t="shared" si="7"/>
        <v>-</v>
      </c>
      <c r="AG61" s="8" t="str">
        <f t="shared" si="7"/>
        <v>-</v>
      </c>
    </row>
    <row r="62" spans="1:33" x14ac:dyDescent="0.35">
      <c r="A62"/>
      <c r="B62"/>
      <c r="C62" t="str">
        <f>CONCATENATE(EFs_Kühlmittel[[#This Row],[Thema]]," - ",EFs_Kühlmittel[[#This Row],[Bezeichnung]])</f>
        <v>Kühl_und_Kältemittel - R1150 (Ethen)</v>
      </c>
      <c r="D62" s="109" t="str">
        <f t="shared" si="5"/>
        <v>Kühl_und_Kältemittel</v>
      </c>
      <c r="E62" s="8" t="s">
        <v>146</v>
      </c>
      <c r="F62" s="8" t="s">
        <v>26</v>
      </c>
      <c r="G62" s="109">
        <v>3.7</v>
      </c>
      <c r="H62" s="8">
        <v>0</v>
      </c>
      <c r="I62" s="8">
        <v>0</v>
      </c>
      <c r="J62" s="8">
        <v>0</v>
      </c>
      <c r="K62" s="8">
        <v>0</v>
      </c>
      <c r="L62" s="8">
        <v>0</v>
      </c>
      <c r="M62" s="8">
        <v>0</v>
      </c>
      <c r="N62" s="8">
        <v>0</v>
      </c>
      <c r="O62" s="8">
        <v>1</v>
      </c>
      <c r="P62" s="8">
        <v>0</v>
      </c>
      <c r="Q62" s="109">
        <v>0</v>
      </c>
      <c r="R62" s="8">
        <v>0</v>
      </c>
      <c r="S62" s="8">
        <v>0</v>
      </c>
      <c r="T62" s="8">
        <v>0</v>
      </c>
      <c r="U62" s="8">
        <v>0</v>
      </c>
      <c r="V62" s="8">
        <v>0</v>
      </c>
      <c r="W62" s="8">
        <v>0</v>
      </c>
      <c r="X62" s="8">
        <v>0</v>
      </c>
      <c r="Y62" s="8">
        <v>0</v>
      </c>
      <c r="Z62" s="109">
        <v>0</v>
      </c>
      <c r="AA62" s="8" t="s">
        <v>684</v>
      </c>
      <c r="AB62" s="8" t="s">
        <v>125</v>
      </c>
      <c r="AC62" s="8" t="s">
        <v>125</v>
      </c>
      <c r="AD62" s="8" t="s">
        <v>125</v>
      </c>
      <c r="AE62" s="8" t="str">
        <f t="shared" si="6"/>
        <v>Kat. 4</v>
      </c>
      <c r="AF62" s="8" t="str">
        <f t="shared" si="7"/>
        <v>-</v>
      </c>
      <c r="AG62" s="8" t="str">
        <f t="shared" si="7"/>
        <v>-</v>
      </c>
    </row>
    <row r="63" spans="1:33" x14ac:dyDescent="0.35">
      <c r="A63"/>
      <c r="B63"/>
      <c r="C63" t="str">
        <f>CONCATENATE(EFs_Kühlmittel[[#This Row],[Thema]]," - ",EFs_Kühlmittel[[#This Row],[Bezeichnung]])</f>
        <v>Kühl_und_Kältemittel - R1270 (Propen)</v>
      </c>
      <c r="D63" s="109" t="str">
        <f t="shared" si="5"/>
        <v>Kühl_und_Kältemittel</v>
      </c>
      <c r="E63" s="8" t="s">
        <v>147</v>
      </c>
      <c r="F63" s="8" t="s">
        <v>26</v>
      </c>
      <c r="G63" s="109">
        <v>1</v>
      </c>
      <c r="H63" s="8">
        <v>0</v>
      </c>
      <c r="I63" s="8">
        <v>0</v>
      </c>
      <c r="J63" s="8">
        <v>0</v>
      </c>
      <c r="K63" s="8">
        <v>0</v>
      </c>
      <c r="L63" s="8">
        <v>0</v>
      </c>
      <c r="M63" s="8">
        <v>0</v>
      </c>
      <c r="N63" s="8">
        <v>0</v>
      </c>
      <c r="O63" s="8">
        <v>1</v>
      </c>
      <c r="P63" s="8">
        <v>0</v>
      </c>
      <c r="Q63" s="109">
        <v>0</v>
      </c>
      <c r="R63" s="8">
        <v>0</v>
      </c>
      <c r="S63" s="8">
        <v>0</v>
      </c>
      <c r="T63" s="8">
        <v>0</v>
      </c>
      <c r="U63" s="8">
        <v>0</v>
      </c>
      <c r="V63" s="8">
        <v>0</v>
      </c>
      <c r="W63" s="8">
        <v>0</v>
      </c>
      <c r="X63" s="8">
        <v>0</v>
      </c>
      <c r="Y63" s="8">
        <v>0</v>
      </c>
      <c r="Z63" s="109">
        <v>0</v>
      </c>
      <c r="AA63" s="8" t="s">
        <v>684</v>
      </c>
      <c r="AB63" s="8" t="s">
        <v>125</v>
      </c>
      <c r="AC63" s="8" t="s">
        <v>125</v>
      </c>
      <c r="AD63" s="8" t="s">
        <v>125</v>
      </c>
      <c r="AE63" s="8" t="str">
        <f t="shared" si="6"/>
        <v>Kat. 4</v>
      </c>
      <c r="AF63" s="8" t="str">
        <f t="shared" si="7"/>
        <v>-</v>
      </c>
      <c r="AG63" s="8" t="str">
        <f t="shared" si="7"/>
        <v>-</v>
      </c>
    </row>
    <row r="64" spans="1:33" x14ac:dyDescent="0.35">
      <c r="A64"/>
      <c r="B64"/>
      <c r="C64" t="str">
        <f>CONCATENATE(EFs_Kühlmittel[[#This Row],[Thema]]," - ",EFs_Kühlmittel[[#This Row],[Bezeichnung]])</f>
        <v>Kühl_und_Kältemittel - R170 (Ethan)</v>
      </c>
      <c r="D64" s="109" t="str">
        <f t="shared" si="5"/>
        <v>Kühl_und_Kältemittel</v>
      </c>
      <c r="E64" s="8" t="s">
        <v>148</v>
      </c>
      <c r="F64" s="8" t="s">
        <v>26</v>
      </c>
      <c r="G64" s="109">
        <v>0.437</v>
      </c>
      <c r="H64" s="8">
        <v>0</v>
      </c>
      <c r="I64" s="8">
        <v>0</v>
      </c>
      <c r="J64" s="8">
        <v>0</v>
      </c>
      <c r="K64" s="8">
        <v>0</v>
      </c>
      <c r="L64" s="8">
        <v>0</v>
      </c>
      <c r="M64" s="8">
        <v>0</v>
      </c>
      <c r="N64" s="8">
        <v>0</v>
      </c>
      <c r="O64" s="8">
        <v>1</v>
      </c>
      <c r="P64" s="8">
        <v>0</v>
      </c>
      <c r="Q64" s="109">
        <v>0</v>
      </c>
      <c r="R64" s="8">
        <v>0</v>
      </c>
      <c r="S64" s="8">
        <v>0</v>
      </c>
      <c r="T64" s="8">
        <v>0</v>
      </c>
      <c r="U64" s="8">
        <v>0</v>
      </c>
      <c r="V64" s="8">
        <v>0</v>
      </c>
      <c r="W64" s="8">
        <v>0</v>
      </c>
      <c r="X64" s="8">
        <v>0</v>
      </c>
      <c r="Y64" s="8">
        <v>0</v>
      </c>
      <c r="Z64" s="109">
        <v>0</v>
      </c>
      <c r="AA64" s="8" t="s">
        <v>683</v>
      </c>
      <c r="AB64" s="8" t="s">
        <v>125</v>
      </c>
      <c r="AC64" s="8" t="s">
        <v>125</v>
      </c>
      <c r="AD64" s="8" t="s">
        <v>125</v>
      </c>
      <c r="AE64" s="8" t="str">
        <f t="shared" si="6"/>
        <v>Kat. 4</v>
      </c>
      <c r="AF64" s="8" t="str">
        <f t="shared" si="7"/>
        <v>-</v>
      </c>
      <c r="AG64" s="8" t="str">
        <f t="shared" si="7"/>
        <v>-</v>
      </c>
    </row>
    <row r="65" spans="1:33" x14ac:dyDescent="0.35">
      <c r="A65"/>
      <c r="B65"/>
      <c r="C65" t="str">
        <f>CONCATENATE(EFs_Kühlmittel[[#This Row],[Thema]]," - ",EFs_Kühlmittel[[#This Row],[Bezeichnung]])</f>
        <v>Kühl_und_Kältemittel - R290 (Propan)</v>
      </c>
      <c r="D65" s="109" t="str">
        <f t="shared" si="5"/>
        <v>Kühl_und_Kältemittel</v>
      </c>
      <c r="E65" s="8" t="s">
        <v>149</v>
      </c>
      <c r="F65" s="8" t="s">
        <v>26</v>
      </c>
      <c r="G65" s="109">
        <v>0.02</v>
      </c>
      <c r="H65" s="8">
        <v>0</v>
      </c>
      <c r="I65" s="8">
        <v>0</v>
      </c>
      <c r="J65" s="8">
        <v>0</v>
      </c>
      <c r="K65" s="8">
        <v>0</v>
      </c>
      <c r="L65" s="8">
        <v>0</v>
      </c>
      <c r="M65" s="8">
        <v>0</v>
      </c>
      <c r="N65" s="8">
        <v>0</v>
      </c>
      <c r="O65" s="8">
        <v>1</v>
      </c>
      <c r="P65" s="8">
        <v>0</v>
      </c>
      <c r="Q65" s="109">
        <v>0</v>
      </c>
      <c r="R65" s="8">
        <v>0</v>
      </c>
      <c r="S65" s="8">
        <v>0</v>
      </c>
      <c r="T65" s="8">
        <v>0</v>
      </c>
      <c r="U65" s="8">
        <v>0</v>
      </c>
      <c r="V65" s="8">
        <v>0</v>
      </c>
      <c r="W65" s="8">
        <v>0</v>
      </c>
      <c r="X65" s="8">
        <v>0</v>
      </c>
      <c r="Y65" s="8">
        <v>0</v>
      </c>
      <c r="Z65" s="109">
        <v>0</v>
      </c>
      <c r="AA65" s="8" t="s">
        <v>683</v>
      </c>
      <c r="AB65" s="8" t="s">
        <v>125</v>
      </c>
      <c r="AC65" s="8" t="s">
        <v>125</v>
      </c>
      <c r="AD65" s="8" t="s">
        <v>125</v>
      </c>
      <c r="AE65" s="8" t="str">
        <f t="shared" si="6"/>
        <v>Kat. 4</v>
      </c>
      <c r="AF65" s="8" t="str">
        <f t="shared" si="7"/>
        <v>-</v>
      </c>
      <c r="AG65" s="8" t="str">
        <f t="shared" si="7"/>
        <v>-</v>
      </c>
    </row>
    <row r="66" spans="1:33" x14ac:dyDescent="0.35">
      <c r="A66"/>
      <c r="B66"/>
      <c r="C66" t="str">
        <f>CONCATENATE(EFs_Kühlmittel[[#This Row],[Thema]]," - ",EFs_Kühlmittel[[#This Row],[Bezeichnung]])</f>
        <v>Kühl_und_Kältemittel - R401A</v>
      </c>
      <c r="D66" s="109" t="str">
        <f t="shared" si="5"/>
        <v>Kühl_und_Kältemittel</v>
      </c>
      <c r="E66" s="8" t="s">
        <v>154</v>
      </c>
      <c r="F66" s="8" t="s">
        <v>26</v>
      </c>
      <c r="G66" s="109">
        <v>1263</v>
      </c>
      <c r="H66" s="8">
        <v>0</v>
      </c>
      <c r="I66" s="8">
        <v>0</v>
      </c>
      <c r="J66" s="8">
        <v>0</v>
      </c>
      <c r="K66" s="8">
        <v>0.13</v>
      </c>
      <c r="L66" s="8">
        <v>0</v>
      </c>
      <c r="M66" s="8">
        <v>0</v>
      </c>
      <c r="N66" s="8">
        <v>0</v>
      </c>
      <c r="O66" s="8">
        <v>0.87</v>
      </c>
      <c r="P66" s="8">
        <v>0</v>
      </c>
      <c r="Q66" s="109">
        <v>0</v>
      </c>
      <c r="R66" s="8">
        <v>0</v>
      </c>
      <c r="S66" s="8">
        <v>0</v>
      </c>
      <c r="T66" s="8">
        <v>0</v>
      </c>
      <c r="U66" s="8">
        <v>0</v>
      </c>
      <c r="V66" s="8">
        <v>0</v>
      </c>
      <c r="W66" s="8">
        <v>0</v>
      </c>
      <c r="X66" s="8">
        <v>0</v>
      </c>
      <c r="Y66" s="8">
        <v>0</v>
      </c>
      <c r="Z66" s="109">
        <v>0</v>
      </c>
      <c r="AA66" s="8" t="s">
        <v>685</v>
      </c>
      <c r="AB66" s="8" t="s">
        <v>125</v>
      </c>
      <c r="AC66" s="8" t="s">
        <v>125</v>
      </c>
      <c r="AD66" s="8" t="s">
        <v>125</v>
      </c>
      <c r="AE66" s="8" t="str">
        <f t="shared" si="6"/>
        <v>Kat. 4</v>
      </c>
      <c r="AF66" s="8" t="str">
        <f t="shared" si="7"/>
        <v>-</v>
      </c>
      <c r="AG66" s="8" t="str">
        <f t="shared" si="7"/>
        <v>-</v>
      </c>
    </row>
    <row r="67" spans="1:33" x14ac:dyDescent="0.35">
      <c r="A67"/>
      <c r="B67"/>
      <c r="C67" t="str">
        <f>CONCATENATE(EFs_Kühlmittel[[#This Row],[Thema]]," - ",EFs_Kühlmittel[[#This Row],[Bezeichnung]])</f>
        <v>Kühl_und_Kältemittel - R401B</v>
      </c>
      <c r="D67" s="109" t="str">
        <f t="shared" si="5"/>
        <v>Kühl_und_Kältemittel</v>
      </c>
      <c r="E67" s="8" t="s">
        <v>155</v>
      </c>
      <c r="F67" s="8" t="s">
        <v>26</v>
      </c>
      <c r="G67" s="109">
        <v>1381</v>
      </c>
      <c r="H67" s="8">
        <v>0</v>
      </c>
      <c r="I67" s="8">
        <v>0</v>
      </c>
      <c r="J67" s="8">
        <v>0</v>
      </c>
      <c r="K67" s="8">
        <v>0.11</v>
      </c>
      <c r="L67" s="8">
        <v>0</v>
      </c>
      <c r="M67" s="8">
        <v>0</v>
      </c>
      <c r="N67" s="8">
        <v>0</v>
      </c>
      <c r="O67" s="8">
        <v>0.89</v>
      </c>
      <c r="P67" s="8">
        <v>0</v>
      </c>
      <c r="Q67" s="109">
        <v>0</v>
      </c>
      <c r="R67" s="8">
        <v>0</v>
      </c>
      <c r="S67" s="8">
        <v>0</v>
      </c>
      <c r="T67" s="8">
        <v>0</v>
      </c>
      <c r="U67" s="8">
        <v>0</v>
      </c>
      <c r="V67" s="8">
        <v>0</v>
      </c>
      <c r="W67" s="8">
        <v>0</v>
      </c>
      <c r="X67" s="8">
        <v>0</v>
      </c>
      <c r="Y67" s="8">
        <v>0</v>
      </c>
      <c r="Z67" s="109">
        <v>0</v>
      </c>
      <c r="AA67" s="8" t="s">
        <v>685</v>
      </c>
      <c r="AB67" s="8" t="s">
        <v>125</v>
      </c>
      <c r="AC67" s="8" t="s">
        <v>125</v>
      </c>
      <c r="AD67" s="8" t="s">
        <v>125</v>
      </c>
      <c r="AE67" s="8" t="str">
        <f t="shared" si="6"/>
        <v>Kat. 4</v>
      </c>
      <c r="AF67" s="8" t="str">
        <f t="shared" si="7"/>
        <v>-</v>
      </c>
      <c r="AG67" s="8" t="str">
        <f t="shared" si="7"/>
        <v>-</v>
      </c>
    </row>
    <row r="68" spans="1:33" x14ac:dyDescent="0.35">
      <c r="A68"/>
      <c r="B68"/>
      <c r="C68" t="str">
        <f>CONCATENATE(EFs_Kühlmittel[[#This Row],[Thema]]," - ",EFs_Kühlmittel[[#This Row],[Bezeichnung]])</f>
        <v>Kühl_und_Kältemittel - R402A</v>
      </c>
      <c r="D68" s="109" t="str">
        <f t="shared" si="5"/>
        <v>Kühl_und_Kältemittel</v>
      </c>
      <c r="E68" s="8" t="s">
        <v>156</v>
      </c>
      <c r="F68" s="8" t="s">
        <v>26</v>
      </c>
      <c r="G68" s="109">
        <v>2989</v>
      </c>
      <c r="H68" s="8">
        <v>0</v>
      </c>
      <c r="I68" s="8">
        <v>0</v>
      </c>
      <c r="J68" s="8">
        <v>0</v>
      </c>
      <c r="K68" s="8">
        <v>0.6</v>
      </c>
      <c r="L68" s="8">
        <v>0</v>
      </c>
      <c r="M68" s="8">
        <v>0</v>
      </c>
      <c r="N68" s="8">
        <v>0</v>
      </c>
      <c r="O68" s="8">
        <v>0.4</v>
      </c>
      <c r="P68" s="8">
        <v>0</v>
      </c>
      <c r="Q68" s="109">
        <v>0</v>
      </c>
      <c r="R68" s="8">
        <v>0</v>
      </c>
      <c r="S68" s="8">
        <v>0</v>
      </c>
      <c r="T68" s="8">
        <v>0</v>
      </c>
      <c r="U68" s="8">
        <v>0</v>
      </c>
      <c r="V68" s="8">
        <v>0</v>
      </c>
      <c r="W68" s="8">
        <v>0</v>
      </c>
      <c r="X68" s="8">
        <v>0</v>
      </c>
      <c r="Y68" s="8">
        <v>0</v>
      </c>
      <c r="Z68" s="109">
        <v>0</v>
      </c>
      <c r="AA68" s="8" t="s">
        <v>685</v>
      </c>
      <c r="AB68" s="8" t="s">
        <v>125</v>
      </c>
      <c r="AC68" s="8" t="s">
        <v>125</v>
      </c>
      <c r="AD68" s="8" t="s">
        <v>125</v>
      </c>
      <c r="AE68" s="8" t="str">
        <f t="shared" si="6"/>
        <v>Kat. 4</v>
      </c>
      <c r="AF68" s="8" t="str">
        <f t="shared" si="7"/>
        <v>-</v>
      </c>
      <c r="AG68" s="8" t="str">
        <f t="shared" si="7"/>
        <v>-</v>
      </c>
    </row>
    <row r="69" spans="1:33" x14ac:dyDescent="0.35">
      <c r="A69"/>
      <c r="B69"/>
      <c r="C69" t="str">
        <f>CONCATENATE(EFs_Kühlmittel[[#This Row],[Thema]]," - ",EFs_Kühlmittel[[#This Row],[Bezeichnung]])</f>
        <v>Kühl_und_Kältemittel - R402B</v>
      </c>
      <c r="D69" s="109" t="str">
        <f t="shared" si="5"/>
        <v>Kühl_und_Kältemittel</v>
      </c>
      <c r="E69" s="8" t="s">
        <v>157</v>
      </c>
      <c r="F69" s="8" t="s">
        <v>26</v>
      </c>
      <c r="G69" s="109">
        <v>2597</v>
      </c>
      <c r="H69" s="8">
        <v>0</v>
      </c>
      <c r="I69" s="8">
        <v>0</v>
      </c>
      <c r="J69" s="8">
        <v>0</v>
      </c>
      <c r="K69" s="8">
        <v>0.38</v>
      </c>
      <c r="L69" s="8">
        <v>0</v>
      </c>
      <c r="M69" s="8">
        <v>0</v>
      </c>
      <c r="N69" s="8">
        <v>0</v>
      </c>
      <c r="O69" s="8">
        <v>0.62</v>
      </c>
      <c r="P69" s="8">
        <v>0</v>
      </c>
      <c r="Q69" s="109">
        <v>0</v>
      </c>
      <c r="R69" s="8">
        <v>0</v>
      </c>
      <c r="S69" s="8">
        <v>0</v>
      </c>
      <c r="T69" s="8">
        <v>0</v>
      </c>
      <c r="U69" s="8">
        <v>0</v>
      </c>
      <c r="V69" s="8">
        <v>0</v>
      </c>
      <c r="W69" s="8">
        <v>0</v>
      </c>
      <c r="X69" s="8">
        <v>0</v>
      </c>
      <c r="Y69" s="8">
        <v>0</v>
      </c>
      <c r="Z69" s="109">
        <v>0</v>
      </c>
      <c r="AA69" s="8" t="s">
        <v>685</v>
      </c>
      <c r="AB69" s="8" t="s">
        <v>125</v>
      </c>
      <c r="AC69" s="8" t="s">
        <v>125</v>
      </c>
      <c r="AD69" s="8" t="s">
        <v>125</v>
      </c>
      <c r="AE69" s="8" t="str">
        <f t="shared" si="6"/>
        <v>Kat. 4</v>
      </c>
      <c r="AF69" s="8" t="str">
        <f t="shared" si="7"/>
        <v>-</v>
      </c>
      <c r="AG69" s="8" t="str">
        <f t="shared" si="7"/>
        <v>-</v>
      </c>
    </row>
    <row r="70" spans="1:33" x14ac:dyDescent="0.35">
      <c r="A70"/>
      <c r="B70"/>
      <c r="C70" t="str">
        <f>CONCATENATE(EFs_Kühlmittel[[#This Row],[Thema]]," - ",EFs_Kühlmittel[[#This Row],[Bezeichnung]])</f>
        <v>Kühl_und_Kältemittel - R404A</v>
      </c>
      <c r="D70" s="109" t="str">
        <f t="shared" si="5"/>
        <v>Kühl_und_Kältemittel</v>
      </c>
      <c r="E70" s="8" t="s">
        <v>158</v>
      </c>
      <c r="F70" s="8" t="s">
        <v>26</v>
      </c>
      <c r="G70" s="109">
        <v>4728</v>
      </c>
      <c r="H70" s="8">
        <v>0</v>
      </c>
      <c r="I70" s="8">
        <v>0</v>
      </c>
      <c r="J70" s="8">
        <v>0</v>
      </c>
      <c r="K70" s="8">
        <v>1</v>
      </c>
      <c r="L70" s="8">
        <v>0</v>
      </c>
      <c r="M70" s="8">
        <v>0</v>
      </c>
      <c r="N70" s="8">
        <v>0</v>
      </c>
      <c r="O70" s="8">
        <v>0</v>
      </c>
      <c r="P70" s="8">
        <v>0</v>
      </c>
      <c r="Q70" s="109">
        <v>0</v>
      </c>
      <c r="R70" s="8">
        <v>0</v>
      </c>
      <c r="S70" s="8">
        <v>0</v>
      </c>
      <c r="T70" s="8">
        <v>0</v>
      </c>
      <c r="U70" s="8">
        <v>0</v>
      </c>
      <c r="V70" s="8">
        <v>0</v>
      </c>
      <c r="W70" s="8">
        <v>0</v>
      </c>
      <c r="X70" s="8">
        <v>0</v>
      </c>
      <c r="Y70" s="8">
        <v>0</v>
      </c>
      <c r="Z70" s="109">
        <v>0</v>
      </c>
      <c r="AA70" s="8" t="s">
        <v>685</v>
      </c>
      <c r="AB70" s="8" t="s">
        <v>125</v>
      </c>
      <c r="AC70" s="8" t="s">
        <v>125</v>
      </c>
      <c r="AD70" s="8" t="s">
        <v>125</v>
      </c>
      <c r="AE70" s="8" t="str">
        <f t="shared" si="6"/>
        <v>Kat. 4</v>
      </c>
      <c r="AF70" s="8" t="str">
        <f t="shared" si="7"/>
        <v>-</v>
      </c>
      <c r="AG70" s="8" t="str">
        <f t="shared" si="7"/>
        <v>-</v>
      </c>
    </row>
    <row r="71" spans="1:33" x14ac:dyDescent="0.35">
      <c r="A71"/>
      <c r="B71"/>
      <c r="C71" t="str">
        <f>CONCATENATE(EFs_Kühlmittel[[#This Row],[Thema]]," - ",EFs_Kühlmittel[[#This Row],[Bezeichnung]])</f>
        <v>Kühl_und_Kältemittel - R407A</v>
      </c>
      <c r="D71" s="109" t="str">
        <f t="shared" si="5"/>
        <v>Kühl_und_Kältemittel</v>
      </c>
      <c r="E71" s="8" t="s">
        <v>159</v>
      </c>
      <c r="F71" s="8" t="s">
        <v>26</v>
      </c>
      <c r="G71" s="109">
        <v>2262</v>
      </c>
      <c r="H71" s="8">
        <v>0</v>
      </c>
      <c r="I71" s="8">
        <v>0</v>
      </c>
      <c r="J71" s="8">
        <v>0</v>
      </c>
      <c r="K71" s="8">
        <v>1</v>
      </c>
      <c r="L71" s="8">
        <v>0</v>
      </c>
      <c r="M71" s="8">
        <v>0</v>
      </c>
      <c r="N71" s="8">
        <v>0</v>
      </c>
      <c r="O71" s="8">
        <v>0</v>
      </c>
      <c r="P71" s="8">
        <v>0</v>
      </c>
      <c r="Q71" s="109">
        <v>0</v>
      </c>
      <c r="R71" s="8">
        <v>0</v>
      </c>
      <c r="S71" s="8">
        <v>0</v>
      </c>
      <c r="T71" s="8">
        <v>0</v>
      </c>
      <c r="U71" s="8">
        <v>0</v>
      </c>
      <c r="V71" s="8">
        <v>0</v>
      </c>
      <c r="W71" s="8">
        <v>0</v>
      </c>
      <c r="X71" s="8">
        <v>0</v>
      </c>
      <c r="Y71" s="8">
        <v>0</v>
      </c>
      <c r="Z71" s="109">
        <v>0</v>
      </c>
      <c r="AA71" s="8" t="s">
        <v>685</v>
      </c>
      <c r="AB71" s="8" t="s">
        <v>125</v>
      </c>
      <c r="AC71" s="8" t="s">
        <v>125</v>
      </c>
      <c r="AD71" s="8" t="s">
        <v>125</v>
      </c>
      <c r="AE71" s="8" t="str">
        <f t="shared" si="6"/>
        <v>Kat. 4</v>
      </c>
      <c r="AF71" s="8" t="str">
        <f t="shared" si="7"/>
        <v>-</v>
      </c>
      <c r="AG71" s="8" t="str">
        <f t="shared" si="7"/>
        <v>-</v>
      </c>
    </row>
    <row r="72" spans="1:33" x14ac:dyDescent="0.35">
      <c r="A72"/>
      <c r="B72"/>
      <c r="C72" t="str">
        <f>CONCATENATE(EFs_Kühlmittel[[#This Row],[Thema]]," - ",EFs_Kühlmittel[[#This Row],[Bezeichnung]])</f>
        <v>Kühl_und_Kältemittel - R407C</v>
      </c>
      <c r="D72" s="109" t="str">
        <f t="shared" si="5"/>
        <v>Kühl_und_Kältemittel</v>
      </c>
      <c r="E72" s="8" t="s">
        <v>160</v>
      </c>
      <c r="F72" s="8" t="s">
        <v>26</v>
      </c>
      <c r="G72" s="109">
        <v>1908</v>
      </c>
      <c r="H72" s="8">
        <v>0</v>
      </c>
      <c r="I72" s="8">
        <v>0</v>
      </c>
      <c r="J72" s="8">
        <v>0</v>
      </c>
      <c r="K72" s="8">
        <v>1</v>
      </c>
      <c r="L72" s="8">
        <v>0</v>
      </c>
      <c r="M72" s="8">
        <v>0</v>
      </c>
      <c r="N72" s="8">
        <v>0</v>
      </c>
      <c r="O72" s="8">
        <v>0</v>
      </c>
      <c r="P72" s="8">
        <v>0</v>
      </c>
      <c r="Q72" s="109">
        <v>0</v>
      </c>
      <c r="R72" s="8">
        <v>0</v>
      </c>
      <c r="S72" s="8">
        <v>0</v>
      </c>
      <c r="T72" s="8">
        <v>0</v>
      </c>
      <c r="U72" s="8">
        <v>0</v>
      </c>
      <c r="V72" s="8">
        <v>0</v>
      </c>
      <c r="W72" s="8">
        <v>0</v>
      </c>
      <c r="X72" s="8">
        <v>0</v>
      </c>
      <c r="Y72" s="8">
        <v>0</v>
      </c>
      <c r="Z72" s="109">
        <v>0</v>
      </c>
      <c r="AA72" s="8" t="s">
        <v>685</v>
      </c>
      <c r="AB72" s="8" t="s">
        <v>125</v>
      </c>
      <c r="AC72" s="8" t="s">
        <v>125</v>
      </c>
      <c r="AD72" s="8" t="s">
        <v>125</v>
      </c>
      <c r="AE72" s="8" t="str">
        <f t="shared" si="6"/>
        <v>Kat. 4</v>
      </c>
      <c r="AF72" s="8" t="str">
        <f t="shared" si="7"/>
        <v>-</v>
      </c>
      <c r="AG72" s="8" t="str">
        <f t="shared" si="7"/>
        <v>-</v>
      </c>
    </row>
    <row r="73" spans="1:33" x14ac:dyDescent="0.35">
      <c r="A73"/>
      <c r="B73"/>
      <c r="C73" t="str">
        <f>CONCATENATE(EFs_Kühlmittel[[#This Row],[Thema]]," - ",EFs_Kühlmittel[[#This Row],[Bezeichnung]])</f>
        <v>Kühl_und_Kältemittel - R407F</v>
      </c>
      <c r="D73" s="109" t="str">
        <f t="shared" si="5"/>
        <v>Kühl_und_Kältemittel</v>
      </c>
      <c r="E73" s="8" t="s">
        <v>161</v>
      </c>
      <c r="F73" s="8" t="s">
        <v>26</v>
      </c>
      <c r="G73" s="109">
        <v>1965</v>
      </c>
      <c r="H73" s="8">
        <v>0</v>
      </c>
      <c r="I73" s="8">
        <v>0</v>
      </c>
      <c r="J73" s="8">
        <v>0</v>
      </c>
      <c r="K73" s="8">
        <v>1</v>
      </c>
      <c r="L73" s="8">
        <v>0</v>
      </c>
      <c r="M73" s="8">
        <v>0</v>
      </c>
      <c r="N73" s="8">
        <v>0</v>
      </c>
      <c r="O73" s="8">
        <v>0</v>
      </c>
      <c r="P73" s="8">
        <v>0</v>
      </c>
      <c r="Q73" s="109">
        <v>0</v>
      </c>
      <c r="R73" s="8">
        <v>0</v>
      </c>
      <c r="S73" s="8">
        <v>0</v>
      </c>
      <c r="T73" s="8">
        <v>0</v>
      </c>
      <c r="U73" s="8">
        <v>0</v>
      </c>
      <c r="V73" s="8">
        <v>0</v>
      </c>
      <c r="W73" s="8">
        <v>0</v>
      </c>
      <c r="X73" s="8">
        <v>0</v>
      </c>
      <c r="Y73" s="8">
        <v>0</v>
      </c>
      <c r="Z73" s="109">
        <v>0</v>
      </c>
      <c r="AA73" s="8" t="s">
        <v>685</v>
      </c>
      <c r="AB73" s="8" t="s">
        <v>125</v>
      </c>
      <c r="AC73" s="8" t="s">
        <v>125</v>
      </c>
      <c r="AD73" s="8" t="s">
        <v>125</v>
      </c>
      <c r="AE73" s="8" t="str">
        <f t="shared" si="6"/>
        <v>Kat. 4</v>
      </c>
      <c r="AF73" s="8" t="str">
        <f t="shared" si="7"/>
        <v>-</v>
      </c>
      <c r="AG73" s="8" t="str">
        <f t="shared" si="7"/>
        <v>-</v>
      </c>
    </row>
    <row r="74" spans="1:33" x14ac:dyDescent="0.35">
      <c r="A74"/>
      <c r="B74"/>
      <c r="C74" t="str">
        <f>CONCATENATE(EFs_Kühlmittel[[#This Row],[Thema]]," - ",EFs_Kühlmittel[[#This Row],[Bezeichnung]])</f>
        <v>Kühl_und_Kältemittel - R408A</v>
      </c>
      <c r="D74" s="109" t="str">
        <f t="shared" si="5"/>
        <v>Kühl_und_Kältemittel</v>
      </c>
      <c r="E74" s="8" t="s">
        <v>162</v>
      </c>
      <c r="F74" s="8" t="s">
        <v>26</v>
      </c>
      <c r="G74" s="109">
        <v>3855</v>
      </c>
      <c r="H74" s="8">
        <v>0</v>
      </c>
      <c r="I74" s="8">
        <v>0</v>
      </c>
      <c r="J74" s="8">
        <v>0</v>
      </c>
      <c r="K74" s="8">
        <v>0.53</v>
      </c>
      <c r="L74" s="8">
        <v>0</v>
      </c>
      <c r="M74" s="8">
        <v>0</v>
      </c>
      <c r="N74" s="8">
        <v>0</v>
      </c>
      <c r="O74" s="8">
        <v>0.47</v>
      </c>
      <c r="P74" s="8">
        <v>0</v>
      </c>
      <c r="Q74" s="109">
        <v>0</v>
      </c>
      <c r="R74" s="8">
        <v>0</v>
      </c>
      <c r="S74" s="8">
        <v>0</v>
      </c>
      <c r="T74" s="8">
        <v>0</v>
      </c>
      <c r="U74" s="8">
        <v>0</v>
      </c>
      <c r="V74" s="8">
        <v>0</v>
      </c>
      <c r="W74" s="8">
        <v>0</v>
      </c>
      <c r="X74" s="8">
        <v>0</v>
      </c>
      <c r="Y74" s="8">
        <v>0</v>
      </c>
      <c r="Z74" s="109">
        <v>0</v>
      </c>
      <c r="AA74" s="8" t="s">
        <v>685</v>
      </c>
      <c r="AB74" s="8" t="s">
        <v>125</v>
      </c>
      <c r="AC74" s="8" t="s">
        <v>125</v>
      </c>
      <c r="AD74" s="8" t="s">
        <v>125</v>
      </c>
      <c r="AE74" s="8" t="str">
        <f t="shared" si="6"/>
        <v>Kat. 4</v>
      </c>
      <c r="AF74" s="8" t="str">
        <f t="shared" si="7"/>
        <v>-</v>
      </c>
      <c r="AG74" s="8" t="str">
        <f t="shared" si="7"/>
        <v>-</v>
      </c>
    </row>
    <row r="75" spans="1:33" x14ac:dyDescent="0.35">
      <c r="A75"/>
      <c r="B75"/>
      <c r="C75" t="str">
        <f>CONCATENATE(EFs_Kühlmittel[[#This Row],[Thema]]," - ",EFs_Kühlmittel[[#This Row],[Bezeichnung]])</f>
        <v>Kühl_und_Kältemittel - R409A</v>
      </c>
      <c r="D75" s="109" t="str">
        <f t="shared" si="5"/>
        <v>Kühl_und_Kältemittel</v>
      </c>
      <c r="E75" s="8" t="s">
        <v>163</v>
      </c>
      <c r="F75" s="8" t="s">
        <v>26</v>
      </c>
      <c r="G75" s="109">
        <v>1670</v>
      </c>
      <c r="H75" s="8">
        <v>0</v>
      </c>
      <c r="I75" s="8">
        <v>0</v>
      </c>
      <c r="J75" s="8">
        <v>0</v>
      </c>
      <c r="K75" s="8">
        <v>0</v>
      </c>
      <c r="L75" s="8">
        <v>0</v>
      </c>
      <c r="M75" s="8">
        <v>0</v>
      </c>
      <c r="N75" s="8">
        <v>0</v>
      </c>
      <c r="O75" s="8">
        <v>1</v>
      </c>
      <c r="P75" s="8">
        <v>0</v>
      </c>
      <c r="Q75" s="109">
        <v>0</v>
      </c>
      <c r="R75" s="8">
        <v>0</v>
      </c>
      <c r="S75" s="8">
        <v>0</v>
      </c>
      <c r="T75" s="8">
        <v>0</v>
      </c>
      <c r="U75" s="8">
        <v>0</v>
      </c>
      <c r="V75" s="8">
        <v>0</v>
      </c>
      <c r="W75" s="8">
        <v>0</v>
      </c>
      <c r="X75" s="8">
        <v>0</v>
      </c>
      <c r="Y75" s="8">
        <v>0</v>
      </c>
      <c r="Z75" s="109">
        <v>0</v>
      </c>
      <c r="AA75" s="8" t="s">
        <v>685</v>
      </c>
      <c r="AB75" s="8" t="s">
        <v>125</v>
      </c>
      <c r="AC75" s="8" t="s">
        <v>125</v>
      </c>
      <c r="AD75" s="8" t="s">
        <v>125</v>
      </c>
      <c r="AE75" s="8" t="str">
        <f t="shared" si="6"/>
        <v>Kat. 4</v>
      </c>
      <c r="AF75" s="8" t="str">
        <f t="shared" si="7"/>
        <v>-</v>
      </c>
      <c r="AG75" s="8" t="str">
        <f t="shared" si="7"/>
        <v>-</v>
      </c>
    </row>
    <row r="76" spans="1:33" x14ac:dyDescent="0.35">
      <c r="A76"/>
      <c r="B76"/>
      <c r="C76" t="str">
        <f>CONCATENATE(EFs_Kühlmittel[[#This Row],[Thema]]," - ",EFs_Kühlmittel[[#This Row],[Bezeichnung]])</f>
        <v>Kühl_und_Kältemittel - R410A</v>
      </c>
      <c r="D76" s="109" t="str">
        <f t="shared" si="5"/>
        <v>Kühl_und_Kältemittel</v>
      </c>
      <c r="E76" s="8" t="s">
        <v>164</v>
      </c>
      <c r="F76" s="8" t="s">
        <v>26</v>
      </c>
      <c r="G76" s="109">
        <v>2256</v>
      </c>
      <c r="H76" s="8">
        <v>0</v>
      </c>
      <c r="I76" s="8">
        <v>0</v>
      </c>
      <c r="J76" s="8">
        <v>0</v>
      </c>
      <c r="K76" s="8">
        <v>1</v>
      </c>
      <c r="L76" s="8">
        <v>0</v>
      </c>
      <c r="M76" s="8">
        <v>0</v>
      </c>
      <c r="N76" s="8">
        <v>0</v>
      </c>
      <c r="O76" s="8">
        <v>0</v>
      </c>
      <c r="P76" s="8">
        <v>0</v>
      </c>
      <c r="Q76" s="109">
        <v>0</v>
      </c>
      <c r="R76" s="8">
        <v>0</v>
      </c>
      <c r="S76" s="8">
        <v>0</v>
      </c>
      <c r="T76" s="8">
        <v>0</v>
      </c>
      <c r="U76" s="8">
        <v>0</v>
      </c>
      <c r="V76" s="8">
        <v>0</v>
      </c>
      <c r="W76" s="8">
        <v>0</v>
      </c>
      <c r="X76" s="8">
        <v>0</v>
      </c>
      <c r="Y76" s="8">
        <v>0</v>
      </c>
      <c r="Z76" s="109">
        <v>0</v>
      </c>
      <c r="AA76" s="8" t="s">
        <v>685</v>
      </c>
      <c r="AB76" s="8" t="s">
        <v>125</v>
      </c>
      <c r="AC76" s="8" t="s">
        <v>125</v>
      </c>
      <c r="AD76" s="8" t="s">
        <v>125</v>
      </c>
      <c r="AE76" s="8" t="str">
        <f t="shared" si="6"/>
        <v>Kat. 4</v>
      </c>
      <c r="AF76" s="8" t="str">
        <f t="shared" si="7"/>
        <v>-</v>
      </c>
      <c r="AG76" s="8" t="str">
        <f t="shared" si="7"/>
        <v>-</v>
      </c>
    </row>
    <row r="77" spans="1:33" x14ac:dyDescent="0.35">
      <c r="A77"/>
      <c r="B77"/>
      <c r="C77" t="str">
        <f>CONCATENATE(EFs_Kühlmittel[[#This Row],[Thema]]," - ",EFs_Kühlmittel[[#This Row],[Bezeichnung]])</f>
        <v>Kühl_und_Kältemittel - R417A</v>
      </c>
      <c r="D77" s="109" t="str">
        <f t="shared" si="5"/>
        <v>Kühl_und_Kältemittel</v>
      </c>
      <c r="E77" s="8" t="s">
        <v>165</v>
      </c>
      <c r="F77" s="8" t="s">
        <v>26</v>
      </c>
      <c r="G77" s="109">
        <v>2508</v>
      </c>
      <c r="H77" s="8">
        <v>0</v>
      </c>
      <c r="I77" s="8">
        <v>0</v>
      </c>
      <c r="J77" s="8">
        <v>0</v>
      </c>
      <c r="K77" s="8">
        <v>0.96599999999999997</v>
      </c>
      <c r="L77" s="8">
        <v>0</v>
      </c>
      <c r="M77" s="8">
        <v>0</v>
      </c>
      <c r="N77" s="8">
        <v>0</v>
      </c>
      <c r="O77" s="8">
        <v>3.4000000000000002E-2</v>
      </c>
      <c r="P77" s="8">
        <v>0</v>
      </c>
      <c r="Q77" s="109">
        <v>0</v>
      </c>
      <c r="R77" s="8">
        <v>0</v>
      </c>
      <c r="S77" s="8">
        <v>0</v>
      </c>
      <c r="T77" s="8">
        <v>0</v>
      </c>
      <c r="U77" s="8">
        <v>0</v>
      </c>
      <c r="V77" s="8">
        <v>0</v>
      </c>
      <c r="W77" s="8">
        <v>0</v>
      </c>
      <c r="X77" s="8">
        <v>0</v>
      </c>
      <c r="Y77" s="8">
        <v>0</v>
      </c>
      <c r="Z77" s="109">
        <v>0</v>
      </c>
      <c r="AA77" s="8" t="s">
        <v>685</v>
      </c>
      <c r="AB77" s="8" t="s">
        <v>125</v>
      </c>
      <c r="AC77" s="8" t="s">
        <v>125</v>
      </c>
      <c r="AD77" s="8" t="s">
        <v>125</v>
      </c>
      <c r="AE77" s="8" t="str">
        <f t="shared" si="6"/>
        <v>Kat. 4</v>
      </c>
      <c r="AF77" s="8" t="str">
        <f t="shared" si="7"/>
        <v>-</v>
      </c>
      <c r="AG77" s="8" t="str">
        <f t="shared" si="7"/>
        <v>-</v>
      </c>
    </row>
    <row r="78" spans="1:33" x14ac:dyDescent="0.35">
      <c r="A78"/>
      <c r="B78"/>
      <c r="C78" t="str">
        <f>CONCATENATE(EFs_Kühlmittel[[#This Row],[Thema]]," - ",EFs_Kühlmittel[[#This Row],[Bezeichnung]])</f>
        <v>Kühl_und_Kältemittel - R422A</v>
      </c>
      <c r="D78" s="109" t="str">
        <f t="shared" si="5"/>
        <v>Kühl_und_Kältemittel</v>
      </c>
      <c r="E78" s="8" t="s">
        <v>166</v>
      </c>
      <c r="F78" s="8" t="s">
        <v>26</v>
      </c>
      <c r="G78" s="109">
        <v>3359</v>
      </c>
      <c r="H78" s="8">
        <v>0</v>
      </c>
      <c r="I78" s="8">
        <v>0</v>
      </c>
      <c r="J78" s="8">
        <v>0</v>
      </c>
      <c r="K78" s="8">
        <v>0.96599999999999997</v>
      </c>
      <c r="L78" s="8">
        <v>0</v>
      </c>
      <c r="M78" s="8">
        <v>0</v>
      </c>
      <c r="N78" s="8">
        <v>0</v>
      </c>
      <c r="O78" s="8">
        <v>3.4000000000000002E-2</v>
      </c>
      <c r="P78" s="8">
        <v>0</v>
      </c>
      <c r="Q78" s="109">
        <v>0</v>
      </c>
      <c r="R78" s="8">
        <v>0</v>
      </c>
      <c r="S78" s="8">
        <v>0</v>
      </c>
      <c r="T78" s="8">
        <v>0</v>
      </c>
      <c r="U78" s="8">
        <v>0</v>
      </c>
      <c r="V78" s="8">
        <v>0</v>
      </c>
      <c r="W78" s="8">
        <v>0</v>
      </c>
      <c r="X78" s="8">
        <v>0</v>
      </c>
      <c r="Y78" s="8">
        <v>0</v>
      </c>
      <c r="Z78" s="109">
        <v>0</v>
      </c>
      <c r="AA78" s="8" t="s">
        <v>685</v>
      </c>
      <c r="AB78" s="8" t="s">
        <v>125</v>
      </c>
      <c r="AC78" s="8" t="s">
        <v>125</v>
      </c>
      <c r="AD78" s="8" t="s">
        <v>125</v>
      </c>
      <c r="AE78" s="8" t="str">
        <f t="shared" si="6"/>
        <v>Kat. 4</v>
      </c>
      <c r="AF78" s="8" t="str">
        <f t="shared" si="7"/>
        <v>-</v>
      </c>
      <c r="AG78" s="8" t="str">
        <f t="shared" si="7"/>
        <v>-</v>
      </c>
    </row>
    <row r="79" spans="1:33" x14ac:dyDescent="0.35">
      <c r="A79"/>
      <c r="B79"/>
      <c r="C79" t="str">
        <f>CONCATENATE(EFs_Kühlmittel[[#This Row],[Thema]]," - ",EFs_Kühlmittel[[#This Row],[Bezeichnung]])</f>
        <v>Kühl_und_Kältemittel - R422D</v>
      </c>
      <c r="D79" s="109" t="str">
        <f t="shared" si="5"/>
        <v>Kühl_und_Kältemittel</v>
      </c>
      <c r="E79" s="8" t="s">
        <v>167</v>
      </c>
      <c r="F79" s="8" t="s">
        <v>26</v>
      </c>
      <c r="G79" s="109">
        <v>2917</v>
      </c>
      <c r="H79" s="8">
        <v>0</v>
      </c>
      <c r="I79" s="8">
        <v>0</v>
      </c>
      <c r="J79" s="8">
        <v>0</v>
      </c>
      <c r="K79" s="8">
        <v>0.96599999999999997</v>
      </c>
      <c r="L79" s="8">
        <v>0</v>
      </c>
      <c r="M79" s="8">
        <v>0</v>
      </c>
      <c r="N79" s="8">
        <v>0</v>
      </c>
      <c r="O79" s="8">
        <v>3.4000000000000002E-2</v>
      </c>
      <c r="P79" s="8">
        <v>0</v>
      </c>
      <c r="Q79" s="109">
        <v>0</v>
      </c>
      <c r="R79" s="8">
        <v>0</v>
      </c>
      <c r="S79" s="8">
        <v>0</v>
      </c>
      <c r="T79" s="8">
        <v>0</v>
      </c>
      <c r="U79" s="8">
        <v>0</v>
      </c>
      <c r="V79" s="8">
        <v>0</v>
      </c>
      <c r="W79" s="8">
        <v>0</v>
      </c>
      <c r="X79" s="8">
        <v>0</v>
      </c>
      <c r="Y79" s="8">
        <v>0</v>
      </c>
      <c r="Z79" s="109">
        <v>0</v>
      </c>
      <c r="AA79" s="8" t="s">
        <v>685</v>
      </c>
      <c r="AB79" s="8" t="s">
        <v>125</v>
      </c>
      <c r="AC79" s="8" t="s">
        <v>125</v>
      </c>
      <c r="AD79" s="8" t="s">
        <v>125</v>
      </c>
      <c r="AE79" s="8" t="str">
        <f t="shared" si="6"/>
        <v>Kat. 4</v>
      </c>
      <c r="AF79" s="8" t="str">
        <f t="shared" si="7"/>
        <v>-</v>
      </c>
      <c r="AG79" s="8" t="str">
        <f t="shared" si="7"/>
        <v>-</v>
      </c>
    </row>
    <row r="80" spans="1:33" x14ac:dyDescent="0.35">
      <c r="A80"/>
      <c r="B80"/>
      <c r="C80" t="str">
        <f>CONCATENATE(EFs_Kühlmittel[[#This Row],[Thema]]," - ",EFs_Kühlmittel[[#This Row],[Bezeichnung]])</f>
        <v>Kühl_und_Kältemittel - R423A</v>
      </c>
      <c r="D80" s="109" t="str">
        <f t="shared" si="5"/>
        <v>Kühl_und_Kältemittel</v>
      </c>
      <c r="E80" s="8" t="s">
        <v>168</v>
      </c>
      <c r="F80" s="8" t="s">
        <v>26</v>
      </c>
      <c r="G80" s="109">
        <v>2513</v>
      </c>
      <c r="H80" s="8">
        <v>0</v>
      </c>
      <c r="I80" s="8">
        <v>0</v>
      </c>
      <c r="J80" s="8">
        <v>0</v>
      </c>
      <c r="K80" s="8">
        <v>1</v>
      </c>
      <c r="L80" s="8">
        <v>0</v>
      </c>
      <c r="M80" s="8">
        <v>0</v>
      </c>
      <c r="N80" s="8">
        <v>0</v>
      </c>
      <c r="O80" s="8">
        <v>0</v>
      </c>
      <c r="P80" s="8">
        <v>0</v>
      </c>
      <c r="Q80" s="109">
        <v>0</v>
      </c>
      <c r="R80" s="8">
        <v>0</v>
      </c>
      <c r="S80" s="8">
        <v>0</v>
      </c>
      <c r="T80" s="8">
        <v>0</v>
      </c>
      <c r="U80" s="8">
        <v>0</v>
      </c>
      <c r="V80" s="8">
        <v>0</v>
      </c>
      <c r="W80" s="8">
        <v>0</v>
      </c>
      <c r="X80" s="8">
        <v>0</v>
      </c>
      <c r="Y80" s="8">
        <v>0</v>
      </c>
      <c r="Z80" s="109">
        <v>0</v>
      </c>
      <c r="AA80" s="8" t="s">
        <v>685</v>
      </c>
      <c r="AB80" s="8" t="s">
        <v>125</v>
      </c>
      <c r="AC80" s="8" t="s">
        <v>125</v>
      </c>
      <c r="AD80" s="8" t="s">
        <v>125</v>
      </c>
      <c r="AE80" s="8" t="str">
        <f t="shared" si="6"/>
        <v>Kat. 4</v>
      </c>
      <c r="AF80" s="8" t="str">
        <f t="shared" si="7"/>
        <v>-</v>
      </c>
      <c r="AG80" s="8" t="str">
        <f t="shared" si="7"/>
        <v>-</v>
      </c>
    </row>
    <row r="81" spans="1:44" x14ac:dyDescent="0.35">
      <c r="A81"/>
      <c r="B81"/>
      <c r="C81" t="str">
        <f>CONCATENATE(EFs_Kühlmittel[[#This Row],[Thema]]," - ",EFs_Kühlmittel[[#This Row],[Bezeichnung]])</f>
        <v>Kühl_und_Kältemittel - R424A</v>
      </c>
      <c r="D81" s="109" t="str">
        <f t="shared" si="5"/>
        <v>Kühl_und_Kältemittel</v>
      </c>
      <c r="E81" s="8" t="s">
        <v>169</v>
      </c>
      <c r="F81" s="8" t="s">
        <v>26</v>
      </c>
      <c r="G81" s="109">
        <v>2608</v>
      </c>
      <c r="H81" s="8">
        <v>0</v>
      </c>
      <c r="I81" s="8">
        <v>0</v>
      </c>
      <c r="J81" s="8">
        <v>0</v>
      </c>
      <c r="K81" s="8">
        <v>0.97499999999999998</v>
      </c>
      <c r="L81" s="8">
        <v>0</v>
      </c>
      <c r="M81" s="8">
        <v>0</v>
      </c>
      <c r="N81" s="8">
        <v>0</v>
      </c>
      <c r="O81" s="8">
        <v>2.5000000000000001E-2</v>
      </c>
      <c r="P81" s="8">
        <v>0</v>
      </c>
      <c r="Q81" s="109">
        <v>0</v>
      </c>
      <c r="R81" s="8">
        <v>0</v>
      </c>
      <c r="S81" s="8">
        <v>0</v>
      </c>
      <c r="T81" s="8">
        <v>0</v>
      </c>
      <c r="U81" s="8">
        <v>0</v>
      </c>
      <c r="V81" s="8">
        <v>0</v>
      </c>
      <c r="W81" s="8">
        <v>0</v>
      </c>
      <c r="X81" s="8">
        <v>0</v>
      </c>
      <c r="Y81" s="8">
        <v>0</v>
      </c>
      <c r="Z81" s="109">
        <v>0</v>
      </c>
      <c r="AA81" s="8" t="s">
        <v>685</v>
      </c>
      <c r="AB81" s="8" t="s">
        <v>125</v>
      </c>
      <c r="AC81" s="8" t="s">
        <v>125</v>
      </c>
      <c r="AD81" s="8" t="s">
        <v>125</v>
      </c>
      <c r="AE81" s="8" t="str">
        <f t="shared" si="6"/>
        <v>Kat. 4</v>
      </c>
      <c r="AF81" s="8" t="str">
        <f t="shared" si="7"/>
        <v>-</v>
      </c>
      <c r="AG81" s="8" t="str">
        <f t="shared" si="7"/>
        <v>-</v>
      </c>
    </row>
    <row r="82" spans="1:44" x14ac:dyDescent="0.35">
      <c r="A82"/>
      <c r="B82"/>
      <c r="C82" t="str">
        <f>CONCATENATE(EFs_Kühlmittel[[#This Row],[Thema]]," - ",EFs_Kühlmittel[[#This Row],[Bezeichnung]])</f>
        <v>Kühl_und_Kältemittel - R427A</v>
      </c>
      <c r="D82" s="109" t="str">
        <f t="shared" ref="D82:D103" si="8">"Kühl_und_Kältemittel"</f>
        <v>Kühl_und_Kältemittel</v>
      </c>
      <c r="E82" s="8" t="s">
        <v>170</v>
      </c>
      <c r="F82" s="8" t="s">
        <v>26</v>
      </c>
      <c r="G82" s="109">
        <v>2397</v>
      </c>
      <c r="H82" s="8">
        <v>0</v>
      </c>
      <c r="I82" s="8">
        <v>0</v>
      </c>
      <c r="J82" s="8">
        <v>0</v>
      </c>
      <c r="K82" s="8">
        <v>1</v>
      </c>
      <c r="L82" s="8">
        <v>0</v>
      </c>
      <c r="M82" s="8">
        <v>0</v>
      </c>
      <c r="N82" s="8">
        <v>0</v>
      </c>
      <c r="O82" s="8">
        <v>0</v>
      </c>
      <c r="P82" s="8">
        <v>0</v>
      </c>
      <c r="Q82" s="109">
        <v>0</v>
      </c>
      <c r="R82" s="8">
        <v>0</v>
      </c>
      <c r="S82" s="8">
        <v>0</v>
      </c>
      <c r="T82" s="8">
        <v>0</v>
      </c>
      <c r="U82" s="8">
        <v>0</v>
      </c>
      <c r="V82" s="8">
        <v>0</v>
      </c>
      <c r="W82" s="8">
        <v>0</v>
      </c>
      <c r="X82" s="8">
        <v>0</v>
      </c>
      <c r="Y82" s="8">
        <v>0</v>
      </c>
      <c r="Z82" s="109">
        <v>0</v>
      </c>
      <c r="AA82" s="8" t="s">
        <v>685</v>
      </c>
      <c r="AB82" s="8" t="s">
        <v>125</v>
      </c>
      <c r="AC82" s="8" t="s">
        <v>125</v>
      </c>
      <c r="AD82" s="8" t="s">
        <v>125</v>
      </c>
      <c r="AE82" s="8" t="str">
        <f t="shared" si="6"/>
        <v>Kat. 4</v>
      </c>
      <c r="AF82" s="8" t="str">
        <f t="shared" si="7"/>
        <v>-</v>
      </c>
      <c r="AG82" s="8" t="str">
        <f t="shared" si="7"/>
        <v>-</v>
      </c>
    </row>
    <row r="83" spans="1:44" x14ac:dyDescent="0.35">
      <c r="A83"/>
      <c r="B83"/>
      <c r="C83" t="str">
        <f>CONCATENATE(EFs_Kühlmittel[[#This Row],[Thema]]," - ",EFs_Kühlmittel[[#This Row],[Bezeichnung]])</f>
        <v>Kühl_und_Kältemittel - R428A</v>
      </c>
      <c r="D83" s="109" t="str">
        <f t="shared" si="8"/>
        <v>Kühl_und_Kältemittel</v>
      </c>
      <c r="E83" s="8" t="s">
        <v>171</v>
      </c>
      <c r="F83" s="8" t="s">
        <v>26</v>
      </c>
      <c r="G83" s="109">
        <v>4061</v>
      </c>
      <c r="H83" s="8">
        <v>0</v>
      </c>
      <c r="I83" s="8">
        <v>0</v>
      </c>
      <c r="J83" s="8">
        <v>0</v>
      </c>
      <c r="K83" s="8">
        <v>0.97499999999999998</v>
      </c>
      <c r="L83" s="8">
        <v>0</v>
      </c>
      <c r="M83" s="8">
        <v>0</v>
      </c>
      <c r="N83" s="8">
        <v>0</v>
      </c>
      <c r="O83" s="8">
        <v>2.5000000000000001E-2</v>
      </c>
      <c r="P83" s="8">
        <v>0</v>
      </c>
      <c r="Q83" s="109">
        <v>0</v>
      </c>
      <c r="R83" s="8">
        <v>0</v>
      </c>
      <c r="S83" s="8">
        <v>0</v>
      </c>
      <c r="T83" s="8">
        <v>0</v>
      </c>
      <c r="U83" s="8">
        <v>0</v>
      </c>
      <c r="V83" s="8">
        <v>0</v>
      </c>
      <c r="W83" s="8">
        <v>0</v>
      </c>
      <c r="X83" s="8">
        <v>0</v>
      </c>
      <c r="Y83" s="8">
        <v>0</v>
      </c>
      <c r="Z83" s="109">
        <v>0</v>
      </c>
      <c r="AA83" s="8" t="s">
        <v>685</v>
      </c>
      <c r="AB83" s="8" t="s">
        <v>125</v>
      </c>
      <c r="AC83" s="8" t="s">
        <v>125</v>
      </c>
      <c r="AD83" s="8" t="s">
        <v>125</v>
      </c>
      <c r="AE83" s="8" t="str">
        <f t="shared" si="6"/>
        <v>Kat. 4</v>
      </c>
      <c r="AF83" s="8" t="str">
        <f t="shared" si="7"/>
        <v>-</v>
      </c>
      <c r="AG83" s="8" t="str">
        <f t="shared" si="7"/>
        <v>-</v>
      </c>
    </row>
    <row r="84" spans="1:44" x14ac:dyDescent="0.35">
      <c r="A84"/>
      <c r="B84"/>
      <c r="C84" t="str">
        <f>CONCATENATE(EFs_Kühlmittel[[#This Row],[Thema]]," - ",EFs_Kühlmittel[[#This Row],[Bezeichnung]])</f>
        <v>Kühl_und_Kältemittel - R434A</v>
      </c>
      <c r="D84" s="109" t="str">
        <f t="shared" si="8"/>
        <v>Kühl_und_Kältemittel</v>
      </c>
      <c r="E84" s="8" t="s">
        <v>172</v>
      </c>
      <c r="F84" s="8" t="s">
        <v>26</v>
      </c>
      <c r="G84" s="109">
        <v>3654</v>
      </c>
      <c r="H84" s="8">
        <v>0</v>
      </c>
      <c r="I84" s="8">
        <v>0</v>
      </c>
      <c r="J84" s="8">
        <v>0</v>
      </c>
      <c r="K84" s="8">
        <v>0.97199999999999998</v>
      </c>
      <c r="L84" s="8">
        <v>0</v>
      </c>
      <c r="M84" s="8">
        <v>0</v>
      </c>
      <c r="N84" s="8">
        <v>0</v>
      </c>
      <c r="O84" s="8">
        <v>2.8000000000000001E-2</v>
      </c>
      <c r="P84" s="8">
        <v>0</v>
      </c>
      <c r="Q84" s="109">
        <v>0</v>
      </c>
      <c r="R84" s="8">
        <v>0</v>
      </c>
      <c r="S84" s="8">
        <v>0</v>
      </c>
      <c r="T84" s="8">
        <v>0</v>
      </c>
      <c r="U84" s="8">
        <v>0</v>
      </c>
      <c r="V84" s="8">
        <v>0</v>
      </c>
      <c r="W84" s="8">
        <v>0</v>
      </c>
      <c r="X84" s="8">
        <v>0</v>
      </c>
      <c r="Y84" s="8">
        <v>0</v>
      </c>
      <c r="Z84" s="109">
        <v>0</v>
      </c>
      <c r="AA84" s="8" t="s">
        <v>685</v>
      </c>
      <c r="AB84" s="8" t="s">
        <v>125</v>
      </c>
      <c r="AC84" s="8" t="s">
        <v>125</v>
      </c>
      <c r="AD84" s="8" t="s">
        <v>125</v>
      </c>
      <c r="AE84" s="8" t="str">
        <f t="shared" si="6"/>
        <v>Kat. 4</v>
      </c>
      <c r="AF84" s="8" t="str">
        <f t="shared" si="7"/>
        <v>-</v>
      </c>
      <c r="AG84" s="8" t="str">
        <f t="shared" si="7"/>
        <v>-</v>
      </c>
    </row>
    <row r="85" spans="1:44" x14ac:dyDescent="0.35">
      <c r="A85"/>
      <c r="B85"/>
      <c r="C85" t="str">
        <f>CONCATENATE(EFs_Kühlmittel[[#This Row],[Thema]]," - ",EFs_Kühlmittel[[#This Row],[Bezeichnung]])</f>
        <v>Kühl_und_Kältemittel - R437A</v>
      </c>
      <c r="D85" s="109" t="str">
        <f t="shared" si="8"/>
        <v>Kühl_und_Kältemittel</v>
      </c>
      <c r="E85" s="8" t="s">
        <v>173</v>
      </c>
      <c r="F85" s="8" t="s">
        <v>26</v>
      </c>
      <c r="G85" s="109">
        <v>1930</v>
      </c>
      <c r="H85" s="8">
        <v>0</v>
      </c>
      <c r="I85" s="8">
        <v>0</v>
      </c>
      <c r="J85" s="8">
        <v>0</v>
      </c>
      <c r="K85" s="8">
        <v>0.98</v>
      </c>
      <c r="L85" s="8">
        <v>0</v>
      </c>
      <c r="M85" s="8">
        <v>0</v>
      </c>
      <c r="N85" s="8">
        <v>0</v>
      </c>
      <c r="O85" s="8">
        <v>0.02</v>
      </c>
      <c r="P85" s="8">
        <v>0</v>
      </c>
      <c r="Q85" s="109">
        <v>0</v>
      </c>
      <c r="R85" s="8">
        <v>0</v>
      </c>
      <c r="S85" s="8">
        <v>0</v>
      </c>
      <c r="T85" s="8">
        <v>0</v>
      </c>
      <c r="U85" s="8">
        <v>0</v>
      </c>
      <c r="V85" s="8">
        <v>0</v>
      </c>
      <c r="W85" s="8">
        <v>0</v>
      </c>
      <c r="X85" s="8">
        <v>0</v>
      </c>
      <c r="Y85" s="8">
        <v>0</v>
      </c>
      <c r="Z85" s="109">
        <v>0</v>
      </c>
      <c r="AA85" s="8" t="s">
        <v>685</v>
      </c>
      <c r="AB85" s="8" t="s">
        <v>125</v>
      </c>
      <c r="AC85" s="8" t="s">
        <v>125</v>
      </c>
      <c r="AD85" s="8" t="s">
        <v>125</v>
      </c>
      <c r="AE85" s="8" t="str">
        <f t="shared" si="6"/>
        <v>Kat. 4</v>
      </c>
      <c r="AF85" s="8" t="str">
        <f t="shared" si="7"/>
        <v>-</v>
      </c>
      <c r="AG85" s="8" t="str">
        <f t="shared" si="7"/>
        <v>-</v>
      </c>
    </row>
    <row r="86" spans="1:44" x14ac:dyDescent="0.35">
      <c r="A86"/>
      <c r="B86"/>
      <c r="C86" t="str">
        <f>CONCATENATE(EFs_Kühlmittel[[#This Row],[Thema]]," - ",EFs_Kühlmittel[[#This Row],[Bezeichnung]])</f>
        <v>Kühl_und_Kältemittel - R438A</v>
      </c>
      <c r="D86" s="109" t="str">
        <f t="shared" si="8"/>
        <v>Kühl_und_Kältemittel</v>
      </c>
      <c r="E86" s="8" t="s">
        <v>174</v>
      </c>
      <c r="F86" s="8" t="s">
        <v>26</v>
      </c>
      <c r="G86" s="109">
        <v>2425</v>
      </c>
      <c r="H86" s="8">
        <v>0</v>
      </c>
      <c r="I86" s="8">
        <v>0</v>
      </c>
      <c r="J86" s="8">
        <v>0</v>
      </c>
      <c r="K86" s="8">
        <v>0.97699999999999998</v>
      </c>
      <c r="L86" s="8">
        <v>0</v>
      </c>
      <c r="M86" s="8">
        <v>0</v>
      </c>
      <c r="N86" s="8">
        <v>0</v>
      </c>
      <c r="O86" s="8">
        <v>2.3E-2</v>
      </c>
      <c r="P86" s="8">
        <v>0</v>
      </c>
      <c r="Q86" s="109">
        <v>0</v>
      </c>
      <c r="R86" s="8">
        <v>0</v>
      </c>
      <c r="S86" s="8">
        <v>0</v>
      </c>
      <c r="T86" s="8">
        <v>0</v>
      </c>
      <c r="U86" s="8">
        <v>0</v>
      </c>
      <c r="V86" s="8">
        <v>0</v>
      </c>
      <c r="W86" s="8">
        <v>0</v>
      </c>
      <c r="X86" s="8">
        <v>0</v>
      </c>
      <c r="Y86" s="8">
        <v>0</v>
      </c>
      <c r="Z86" s="109">
        <v>0</v>
      </c>
      <c r="AA86" s="8" t="s">
        <v>685</v>
      </c>
      <c r="AB86" s="8" t="s">
        <v>125</v>
      </c>
      <c r="AC86" s="8" t="s">
        <v>125</v>
      </c>
      <c r="AD86" s="8" t="s">
        <v>125</v>
      </c>
      <c r="AE86" s="8" t="str">
        <f t="shared" si="6"/>
        <v>Kat. 4</v>
      </c>
      <c r="AF86" s="8" t="str">
        <f t="shared" si="7"/>
        <v>-</v>
      </c>
      <c r="AG86" s="8" t="str">
        <f t="shared" si="7"/>
        <v>-</v>
      </c>
    </row>
    <row r="87" spans="1:44" x14ac:dyDescent="0.35">
      <c r="A87"/>
      <c r="B87"/>
      <c r="C87" t="str">
        <f>CONCATENATE(EFs_Kühlmittel[[#This Row],[Thema]]," - ",EFs_Kühlmittel[[#This Row],[Bezeichnung]])</f>
        <v>Kühl_und_Kältemittel - R442A</v>
      </c>
      <c r="D87" s="109" t="str">
        <f t="shared" si="8"/>
        <v>Kühl_und_Kältemittel</v>
      </c>
      <c r="E87" s="8" t="s">
        <v>175</v>
      </c>
      <c r="F87" s="8" t="s">
        <v>26</v>
      </c>
      <c r="G87" s="109">
        <v>2042</v>
      </c>
      <c r="H87" s="8">
        <v>0</v>
      </c>
      <c r="I87" s="8">
        <v>0</v>
      </c>
      <c r="J87" s="8">
        <v>0</v>
      </c>
      <c r="K87" s="8">
        <v>1</v>
      </c>
      <c r="L87" s="8">
        <v>0</v>
      </c>
      <c r="M87" s="8">
        <v>0</v>
      </c>
      <c r="N87" s="8">
        <v>0</v>
      </c>
      <c r="O87" s="8">
        <v>0</v>
      </c>
      <c r="P87" s="8">
        <v>0</v>
      </c>
      <c r="Q87" s="109">
        <v>0</v>
      </c>
      <c r="R87" s="8">
        <v>0</v>
      </c>
      <c r="S87" s="8">
        <v>0</v>
      </c>
      <c r="T87" s="8">
        <v>0</v>
      </c>
      <c r="U87" s="8">
        <v>0</v>
      </c>
      <c r="V87" s="8">
        <v>0</v>
      </c>
      <c r="W87" s="8">
        <v>0</v>
      </c>
      <c r="X87" s="8">
        <v>0</v>
      </c>
      <c r="Y87" s="8">
        <v>0</v>
      </c>
      <c r="Z87" s="109">
        <v>0</v>
      </c>
      <c r="AA87" s="8" t="s">
        <v>685</v>
      </c>
      <c r="AB87" s="8" t="s">
        <v>125</v>
      </c>
      <c r="AC87" s="8" t="s">
        <v>125</v>
      </c>
      <c r="AD87" s="8" t="s">
        <v>125</v>
      </c>
      <c r="AE87" s="8" t="str">
        <f t="shared" si="6"/>
        <v>Kat. 4</v>
      </c>
      <c r="AF87" s="8" t="str">
        <f t="shared" si="7"/>
        <v>-</v>
      </c>
      <c r="AG87" s="8" t="str">
        <f t="shared" si="7"/>
        <v>-</v>
      </c>
    </row>
    <row r="88" spans="1:44" x14ac:dyDescent="0.35">
      <c r="A88"/>
      <c r="B88"/>
      <c r="C88" t="str">
        <f>CONCATENATE(EFs_Kühlmittel[[#This Row],[Thema]]," - ",EFs_Kühlmittel[[#This Row],[Bezeichnung]])</f>
        <v>Kühl_und_Kältemittel - R502</v>
      </c>
      <c r="D88" s="109" t="str">
        <f t="shared" si="8"/>
        <v>Kühl_und_Kältemittel</v>
      </c>
      <c r="E88" s="8" t="s">
        <v>176</v>
      </c>
      <c r="F88" s="8" t="s">
        <v>26</v>
      </c>
      <c r="G88" s="109">
        <v>5871</v>
      </c>
      <c r="H88" s="8">
        <v>0</v>
      </c>
      <c r="I88" s="8">
        <v>0</v>
      </c>
      <c r="J88" s="8">
        <v>0</v>
      </c>
      <c r="K88" s="8">
        <v>0</v>
      </c>
      <c r="L88" s="8">
        <v>0</v>
      </c>
      <c r="M88" s="8">
        <v>0</v>
      </c>
      <c r="N88" s="8">
        <v>0</v>
      </c>
      <c r="O88" s="8">
        <v>1</v>
      </c>
      <c r="P88" s="8">
        <v>0</v>
      </c>
      <c r="Q88" s="109">
        <v>0</v>
      </c>
      <c r="R88" s="8">
        <v>0</v>
      </c>
      <c r="S88" s="8">
        <v>0</v>
      </c>
      <c r="T88" s="8">
        <v>0</v>
      </c>
      <c r="U88" s="8">
        <v>0</v>
      </c>
      <c r="V88" s="8">
        <v>0</v>
      </c>
      <c r="W88" s="8">
        <v>0</v>
      </c>
      <c r="X88" s="8">
        <v>0</v>
      </c>
      <c r="Y88" s="8">
        <v>0</v>
      </c>
      <c r="Z88" s="109">
        <v>0</v>
      </c>
      <c r="AA88" s="8" t="s">
        <v>685</v>
      </c>
      <c r="AB88" s="8" t="s">
        <v>125</v>
      </c>
      <c r="AC88" s="8" t="s">
        <v>125</v>
      </c>
      <c r="AD88" s="8" t="s">
        <v>125</v>
      </c>
      <c r="AE88" s="8" t="str">
        <f t="shared" si="6"/>
        <v>Kat. 4</v>
      </c>
      <c r="AF88" s="8" t="str">
        <f t="shared" si="7"/>
        <v>-</v>
      </c>
      <c r="AG88" s="8" t="str">
        <f t="shared" si="7"/>
        <v>-</v>
      </c>
    </row>
    <row r="89" spans="1:44" x14ac:dyDescent="0.35">
      <c r="A89"/>
      <c r="B89"/>
      <c r="C89" t="str">
        <f>CONCATENATE(EFs_Kühlmittel[[#This Row],[Thema]]," - ",EFs_Kühlmittel[[#This Row],[Bezeichnung]])</f>
        <v>Kühl_und_Kältemittel - R507A / R507</v>
      </c>
      <c r="D89" s="109" t="str">
        <f t="shared" si="8"/>
        <v>Kühl_und_Kältemittel</v>
      </c>
      <c r="E89" s="8" t="s">
        <v>177</v>
      </c>
      <c r="F89" s="8" t="s">
        <v>26</v>
      </c>
      <c r="G89" s="109">
        <v>4775</v>
      </c>
      <c r="H89" s="8">
        <v>0</v>
      </c>
      <c r="I89" s="8">
        <v>0</v>
      </c>
      <c r="J89" s="8">
        <v>0</v>
      </c>
      <c r="K89" s="8">
        <v>1</v>
      </c>
      <c r="L89" s="8">
        <v>0</v>
      </c>
      <c r="M89" s="8">
        <v>0</v>
      </c>
      <c r="N89" s="8">
        <v>0</v>
      </c>
      <c r="O89" s="8">
        <v>0</v>
      </c>
      <c r="P89" s="8">
        <v>0</v>
      </c>
      <c r="Q89" s="109">
        <v>0</v>
      </c>
      <c r="R89" s="8">
        <v>0</v>
      </c>
      <c r="S89" s="8">
        <v>0</v>
      </c>
      <c r="T89" s="8">
        <v>0</v>
      </c>
      <c r="U89" s="8">
        <v>0</v>
      </c>
      <c r="V89" s="8">
        <v>0</v>
      </c>
      <c r="W89" s="8">
        <v>0</v>
      </c>
      <c r="X89" s="8">
        <v>0</v>
      </c>
      <c r="Y89" s="8">
        <v>0</v>
      </c>
      <c r="Z89" s="109">
        <v>0</v>
      </c>
      <c r="AA89" s="8" t="s">
        <v>685</v>
      </c>
      <c r="AB89" s="8" t="s">
        <v>125</v>
      </c>
      <c r="AC89" s="8" t="s">
        <v>125</v>
      </c>
      <c r="AD89" s="8" t="s">
        <v>125</v>
      </c>
      <c r="AE89" s="8" t="str">
        <f t="shared" si="6"/>
        <v>Kat. 4</v>
      </c>
      <c r="AF89" s="8" t="str">
        <f t="shared" si="7"/>
        <v>-</v>
      </c>
      <c r="AG89" s="8" t="str">
        <f t="shared" si="7"/>
        <v>-</v>
      </c>
    </row>
    <row r="90" spans="1:44" x14ac:dyDescent="0.35">
      <c r="A90"/>
      <c r="B90"/>
      <c r="C90" t="str">
        <f>CONCATENATE(EFs_Kühlmittel[[#This Row],[Thema]]," - ",EFs_Kühlmittel[[#This Row],[Bezeichnung]])</f>
        <v>Kühl_und_Kältemittel - R508B</v>
      </c>
      <c r="D90" s="109" t="str">
        <f t="shared" si="8"/>
        <v>Kühl_und_Kältemittel</v>
      </c>
      <c r="E90" s="8" t="s">
        <v>178</v>
      </c>
      <c r="F90" s="8" t="s">
        <v>26</v>
      </c>
      <c r="G90" s="109">
        <v>13412</v>
      </c>
      <c r="H90" s="8">
        <v>0</v>
      </c>
      <c r="I90" s="8">
        <v>0</v>
      </c>
      <c r="J90" s="8">
        <v>0</v>
      </c>
      <c r="K90" s="8">
        <v>0.46</v>
      </c>
      <c r="L90" s="8">
        <v>0.54</v>
      </c>
      <c r="M90" s="8">
        <v>0</v>
      </c>
      <c r="N90" s="8">
        <v>0</v>
      </c>
      <c r="O90" s="8">
        <v>0</v>
      </c>
      <c r="P90" s="8">
        <v>0</v>
      </c>
      <c r="Q90" s="109">
        <v>0</v>
      </c>
      <c r="R90" s="8">
        <v>0</v>
      </c>
      <c r="S90" s="8">
        <v>0</v>
      </c>
      <c r="T90" s="8">
        <v>0</v>
      </c>
      <c r="U90" s="8">
        <v>0</v>
      </c>
      <c r="V90" s="8">
        <v>0</v>
      </c>
      <c r="W90" s="8">
        <v>0</v>
      </c>
      <c r="X90" s="8">
        <v>0</v>
      </c>
      <c r="Y90" s="8">
        <v>0</v>
      </c>
      <c r="Z90" s="109">
        <v>0</v>
      </c>
      <c r="AA90" s="8" t="s">
        <v>685</v>
      </c>
      <c r="AB90" s="8" t="s">
        <v>125</v>
      </c>
      <c r="AC90" s="8" t="s">
        <v>125</v>
      </c>
      <c r="AD90" s="8" t="s">
        <v>125</v>
      </c>
      <c r="AE90" s="8" t="str">
        <f t="shared" si="6"/>
        <v>Kat. 4</v>
      </c>
      <c r="AF90" s="8" t="str">
        <f t="shared" si="7"/>
        <v>-</v>
      </c>
      <c r="AG90" s="8" t="str">
        <f t="shared" si="7"/>
        <v>-</v>
      </c>
    </row>
    <row r="91" spans="1:44" x14ac:dyDescent="0.35">
      <c r="A91"/>
      <c r="B91"/>
      <c r="C91" t="str">
        <f>CONCATENATE(EFs_Kühlmittel[[#This Row],[Thema]]," - ",EFs_Kühlmittel[[#This Row],[Bezeichnung]])</f>
        <v>Kühl_und_Kältemittel - R600a (Isobutan)</v>
      </c>
      <c r="D91" s="109" t="str">
        <f t="shared" si="8"/>
        <v>Kühl_und_Kältemittel</v>
      </c>
      <c r="E91" s="8" t="s">
        <v>150</v>
      </c>
      <c r="F91" s="8" t="s">
        <v>26</v>
      </c>
      <c r="G91" s="109">
        <v>1</v>
      </c>
      <c r="H91" s="8">
        <v>0</v>
      </c>
      <c r="I91" s="8">
        <v>0</v>
      </c>
      <c r="J91" s="8">
        <v>0</v>
      </c>
      <c r="K91" s="8">
        <v>0</v>
      </c>
      <c r="L91" s="8">
        <v>0</v>
      </c>
      <c r="M91" s="8">
        <v>0</v>
      </c>
      <c r="N91" s="8">
        <v>0</v>
      </c>
      <c r="O91" s="8">
        <v>1</v>
      </c>
      <c r="P91" s="8">
        <v>0</v>
      </c>
      <c r="Q91" s="109">
        <v>0</v>
      </c>
      <c r="R91" s="8">
        <v>0</v>
      </c>
      <c r="S91" s="8">
        <v>0</v>
      </c>
      <c r="T91" s="8">
        <v>0</v>
      </c>
      <c r="U91" s="8">
        <v>0</v>
      </c>
      <c r="V91" s="8">
        <v>0</v>
      </c>
      <c r="W91" s="8">
        <v>0</v>
      </c>
      <c r="X91" s="8">
        <v>0</v>
      </c>
      <c r="Y91" s="8">
        <v>0</v>
      </c>
      <c r="Z91" s="109">
        <v>0</v>
      </c>
      <c r="AA91" s="8" t="s">
        <v>684</v>
      </c>
      <c r="AB91" s="8" t="s">
        <v>125</v>
      </c>
      <c r="AC91" s="8" t="s">
        <v>125</v>
      </c>
      <c r="AD91" s="8" t="s">
        <v>125</v>
      </c>
      <c r="AE91" s="8" t="str">
        <f t="shared" si="6"/>
        <v>Kat. 4</v>
      </c>
      <c r="AF91" s="8" t="str">
        <f t="shared" si="7"/>
        <v>-</v>
      </c>
      <c r="AG91" s="8" t="str">
        <f t="shared" si="7"/>
        <v>-</v>
      </c>
    </row>
    <row r="92" spans="1:44" x14ac:dyDescent="0.35">
      <c r="A92"/>
      <c r="B92"/>
      <c r="C92" t="str">
        <f>CONCATENATE(EFs_Kühlmittel[[#This Row],[Thema]]," - ",EFs_Kühlmittel[[#This Row],[Bezeichnung]])</f>
        <v>Kühl_und_Kältemittel - R717 (Ammoniak)</v>
      </c>
      <c r="D92" s="109" t="str">
        <f t="shared" si="8"/>
        <v>Kühl_und_Kältemittel</v>
      </c>
      <c r="E92" s="8" t="s">
        <v>151</v>
      </c>
      <c r="F92" s="8" t="s">
        <v>26</v>
      </c>
      <c r="G92" s="109">
        <v>0</v>
      </c>
      <c r="H92" s="8">
        <v>0</v>
      </c>
      <c r="I92" s="8">
        <v>0</v>
      </c>
      <c r="J92" s="8">
        <v>0</v>
      </c>
      <c r="K92" s="8">
        <v>0</v>
      </c>
      <c r="L92" s="8">
        <v>0</v>
      </c>
      <c r="M92" s="8">
        <v>0</v>
      </c>
      <c r="N92" s="8">
        <v>0</v>
      </c>
      <c r="O92" s="8">
        <v>1</v>
      </c>
      <c r="P92" s="8">
        <v>0</v>
      </c>
      <c r="Q92" s="109">
        <v>0</v>
      </c>
      <c r="R92" s="8">
        <v>0</v>
      </c>
      <c r="S92" s="8">
        <v>0</v>
      </c>
      <c r="T92" s="8">
        <v>0</v>
      </c>
      <c r="U92" s="8">
        <v>0</v>
      </c>
      <c r="V92" s="8">
        <v>0</v>
      </c>
      <c r="W92" s="8">
        <v>0</v>
      </c>
      <c r="X92" s="8">
        <v>0</v>
      </c>
      <c r="Y92" s="8">
        <v>0</v>
      </c>
      <c r="Z92" s="109">
        <v>0</v>
      </c>
      <c r="AA92" s="8" t="s">
        <v>684</v>
      </c>
      <c r="AB92" s="8" t="s">
        <v>125</v>
      </c>
      <c r="AC92" s="8" t="s">
        <v>125</v>
      </c>
      <c r="AD92" s="8" t="s">
        <v>125</v>
      </c>
      <c r="AE92" s="8" t="str">
        <f t="shared" si="6"/>
        <v>Kat. 4</v>
      </c>
      <c r="AF92" s="8" t="str">
        <f t="shared" si="7"/>
        <v>-</v>
      </c>
      <c r="AG92" s="8" t="str">
        <f t="shared" si="7"/>
        <v>-</v>
      </c>
    </row>
    <row r="93" spans="1:44" x14ac:dyDescent="0.35">
      <c r="A93"/>
      <c r="B93"/>
      <c r="C93" t="str">
        <f>CONCATENATE(EFs_Kühlmittel[[#This Row],[Thema]]," - ",EFs_Kühlmittel[[#This Row],[Bezeichnung]])</f>
        <v>Kühl_und_Kältemittel - R744 (Kohlenstoffdioxid)</v>
      </c>
      <c r="D93" s="109" t="str">
        <f t="shared" si="8"/>
        <v>Kühl_und_Kältemittel</v>
      </c>
      <c r="E93" s="8" t="s">
        <v>152</v>
      </c>
      <c r="F93" s="8" t="s">
        <v>26</v>
      </c>
      <c r="G93" s="109">
        <v>1</v>
      </c>
      <c r="H93" s="8">
        <v>1</v>
      </c>
      <c r="I93" s="8">
        <v>0</v>
      </c>
      <c r="J93" s="8">
        <v>0</v>
      </c>
      <c r="K93" s="8">
        <v>0</v>
      </c>
      <c r="L93" s="8">
        <v>0</v>
      </c>
      <c r="M93" s="8">
        <v>0</v>
      </c>
      <c r="N93" s="8">
        <v>0</v>
      </c>
      <c r="O93" s="8">
        <v>0</v>
      </c>
      <c r="P93" s="8">
        <v>0</v>
      </c>
      <c r="Q93" s="109">
        <v>0</v>
      </c>
      <c r="R93" s="8">
        <v>0</v>
      </c>
      <c r="S93" s="8">
        <v>0</v>
      </c>
      <c r="T93" s="8">
        <v>0</v>
      </c>
      <c r="U93" s="8">
        <v>0</v>
      </c>
      <c r="V93" s="8">
        <v>0</v>
      </c>
      <c r="W93" s="8">
        <v>0</v>
      </c>
      <c r="X93" s="8">
        <v>0</v>
      </c>
      <c r="Y93" s="8">
        <v>0</v>
      </c>
      <c r="Z93" s="109">
        <v>0</v>
      </c>
      <c r="AA93" s="8" t="s">
        <v>683</v>
      </c>
      <c r="AB93" s="8" t="s">
        <v>125</v>
      </c>
      <c r="AC93" s="8" t="s">
        <v>125</v>
      </c>
      <c r="AD93" s="8" t="s">
        <v>125</v>
      </c>
      <c r="AE93" s="8" t="str">
        <f t="shared" si="6"/>
        <v>Kat. 4</v>
      </c>
      <c r="AF93" s="8" t="str">
        <f t="shared" si="7"/>
        <v>-</v>
      </c>
      <c r="AG93" s="8" t="str">
        <f t="shared" si="7"/>
        <v>-</v>
      </c>
    </row>
    <row r="94" spans="1:44" s="89" customFormat="1" x14ac:dyDescent="0.35">
      <c r="A94" s="265" t="str">
        <f>"Eigenfaktor --&gt;"</f>
        <v>Eigenfaktor --&gt;</v>
      </c>
      <c r="B94"/>
      <c r="C94" s="89" t="str">
        <f>CONCATENATE(EFs_Kühlmittel[[#This Row],[Thema]]," - ",EFs_Kühlmittel[[#This Row],[Bezeichnung]])</f>
        <v xml:space="preserve">Kühl_und_Kältemittel - </v>
      </c>
      <c r="D94" s="109" t="str">
        <f t="shared" si="8"/>
        <v>Kühl_und_Kältemittel</v>
      </c>
      <c r="E94" s="529"/>
      <c r="F94" s="529"/>
      <c r="G94" s="530"/>
      <c r="H94" s="529"/>
      <c r="I94" s="529"/>
      <c r="J94" s="529"/>
      <c r="K94" s="529"/>
      <c r="L94" s="529"/>
      <c r="M94" s="529"/>
      <c r="N94" s="529"/>
      <c r="O94" s="529"/>
      <c r="P94" s="529"/>
      <c r="Q94" s="530"/>
      <c r="R94" s="530"/>
      <c r="S94" s="530"/>
      <c r="T94" s="530"/>
      <c r="U94" s="530"/>
      <c r="V94" s="530"/>
      <c r="W94" s="530"/>
      <c r="X94" s="530"/>
      <c r="Y94" s="530"/>
      <c r="Z94" s="530"/>
      <c r="AA94" s="529"/>
      <c r="AB94" s="529"/>
      <c r="AC94" s="529"/>
      <c r="AD94" s="529"/>
      <c r="AE94" s="8" t="str">
        <f t="shared" ref="AE94:AE103" si="9">"Kat. 4"</f>
        <v>Kat. 4</v>
      </c>
      <c r="AF94" s="8" t="str">
        <f t="shared" ref="AF94:AF103" si="10">"-"</f>
        <v>-</v>
      </c>
      <c r="AG94" s="8" t="str">
        <f t="shared" ref="AG94:AG103" si="11">"-"</f>
        <v>-</v>
      </c>
      <c r="AH94" s="529"/>
      <c r="AI94" s="8"/>
      <c r="AJ94" s="8"/>
      <c r="AK94" s="8"/>
      <c r="AL94" s="8"/>
      <c r="AM94" s="8"/>
      <c r="AN94" s="8"/>
      <c r="AO94" s="8"/>
      <c r="AP94" s="8"/>
      <c r="AQ94" s="529"/>
      <c r="AR94" s="529"/>
    </row>
    <row r="95" spans="1:44" s="89" customFormat="1" x14ac:dyDescent="0.35">
      <c r="A95" s="265" t="str">
        <f t="shared" ref="A95:A99" si="12">"Eigenfaktor --&gt;"</f>
        <v>Eigenfaktor --&gt;</v>
      </c>
      <c r="B95"/>
      <c r="C95" s="89" t="str">
        <f>CONCATENATE(EFs_Kühlmittel[[#This Row],[Thema]]," - ",EFs_Kühlmittel[[#This Row],[Bezeichnung]])</f>
        <v xml:space="preserve">Kühl_und_Kältemittel - </v>
      </c>
      <c r="D95" s="109" t="str">
        <f>"Kühl_und_Kältemittel"</f>
        <v>Kühl_und_Kältemittel</v>
      </c>
      <c r="E95" s="529"/>
      <c r="F95" s="529"/>
      <c r="G95" s="530"/>
      <c r="H95" s="529"/>
      <c r="I95" s="529"/>
      <c r="J95" s="529"/>
      <c r="K95" s="529"/>
      <c r="L95" s="529"/>
      <c r="M95" s="529"/>
      <c r="N95" s="529"/>
      <c r="O95" s="529"/>
      <c r="P95" s="529"/>
      <c r="Q95" s="530"/>
      <c r="R95" s="530"/>
      <c r="S95" s="530"/>
      <c r="T95" s="530"/>
      <c r="U95" s="530"/>
      <c r="V95" s="530"/>
      <c r="W95" s="530"/>
      <c r="X95" s="530"/>
      <c r="Y95" s="530"/>
      <c r="Z95" s="530"/>
      <c r="AA95" s="529"/>
      <c r="AB95" s="529"/>
      <c r="AC95" s="529"/>
      <c r="AD95" s="529"/>
      <c r="AE95" s="8" t="str">
        <f>"Kat. 4"</f>
        <v>Kat. 4</v>
      </c>
      <c r="AF95" s="8" t="str">
        <f t="shared" ref="AF95:AG99" si="13">"-"</f>
        <v>-</v>
      </c>
      <c r="AG95" s="8" t="str">
        <f t="shared" si="13"/>
        <v>-</v>
      </c>
      <c r="AH95" s="529"/>
      <c r="AI95" s="8"/>
      <c r="AJ95" s="8"/>
      <c r="AK95" s="8"/>
      <c r="AL95" s="8"/>
      <c r="AM95" s="8"/>
      <c r="AN95" s="8"/>
      <c r="AO95" s="8"/>
      <c r="AP95" s="8"/>
      <c r="AQ95" s="529"/>
      <c r="AR95" s="529"/>
    </row>
    <row r="96" spans="1:44" s="89" customFormat="1" x14ac:dyDescent="0.35">
      <c r="A96" s="265" t="str">
        <f t="shared" si="12"/>
        <v>Eigenfaktor --&gt;</v>
      </c>
      <c r="B96"/>
      <c r="C96" s="89" t="str">
        <f>CONCATENATE(EFs_Kühlmittel[[#This Row],[Thema]]," - ",EFs_Kühlmittel[[#This Row],[Bezeichnung]])</f>
        <v xml:space="preserve">Kühl_und_Kältemittel - </v>
      </c>
      <c r="D96" s="109" t="str">
        <f>"Kühl_und_Kältemittel"</f>
        <v>Kühl_und_Kältemittel</v>
      </c>
      <c r="E96" s="529"/>
      <c r="F96" s="529"/>
      <c r="G96" s="530"/>
      <c r="H96" s="529"/>
      <c r="I96" s="529"/>
      <c r="J96" s="529"/>
      <c r="K96" s="529"/>
      <c r="L96" s="529"/>
      <c r="M96" s="529"/>
      <c r="N96" s="529"/>
      <c r="O96" s="529"/>
      <c r="P96" s="529"/>
      <c r="Q96" s="530"/>
      <c r="R96" s="530"/>
      <c r="S96" s="530"/>
      <c r="T96" s="530"/>
      <c r="U96" s="530"/>
      <c r="V96" s="530"/>
      <c r="W96" s="530"/>
      <c r="X96" s="530"/>
      <c r="Y96" s="530"/>
      <c r="Z96" s="530"/>
      <c r="AA96" s="529"/>
      <c r="AB96" s="529"/>
      <c r="AC96" s="529"/>
      <c r="AD96" s="529"/>
      <c r="AE96" s="8" t="str">
        <f>"Kat. 4"</f>
        <v>Kat. 4</v>
      </c>
      <c r="AF96" s="8" t="str">
        <f t="shared" si="13"/>
        <v>-</v>
      </c>
      <c r="AG96" s="8" t="str">
        <f t="shared" si="13"/>
        <v>-</v>
      </c>
      <c r="AH96" s="529"/>
      <c r="AI96" s="8"/>
      <c r="AJ96" s="8"/>
      <c r="AK96" s="8"/>
      <c r="AL96" s="8"/>
      <c r="AM96" s="8"/>
      <c r="AN96" s="8"/>
      <c r="AO96" s="8"/>
      <c r="AP96" s="8"/>
      <c r="AQ96" s="529"/>
      <c r="AR96" s="529"/>
    </row>
    <row r="97" spans="1:44" s="89" customFormat="1" x14ac:dyDescent="0.35">
      <c r="A97" s="265" t="str">
        <f t="shared" si="12"/>
        <v>Eigenfaktor --&gt;</v>
      </c>
      <c r="B97"/>
      <c r="C97" s="89" t="str">
        <f>CONCATENATE(EFs_Kühlmittel[[#This Row],[Thema]]," - ",EFs_Kühlmittel[[#This Row],[Bezeichnung]])</f>
        <v xml:space="preserve">Kühl_und_Kältemittel - </v>
      </c>
      <c r="D97" s="109" t="str">
        <f>"Kühl_und_Kältemittel"</f>
        <v>Kühl_und_Kältemittel</v>
      </c>
      <c r="E97" s="529"/>
      <c r="F97" s="529"/>
      <c r="G97" s="530"/>
      <c r="H97" s="529"/>
      <c r="I97" s="529"/>
      <c r="J97" s="529"/>
      <c r="K97" s="529"/>
      <c r="L97" s="529"/>
      <c r="M97" s="529"/>
      <c r="N97" s="529"/>
      <c r="O97" s="529"/>
      <c r="P97" s="529"/>
      <c r="Q97" s="530"/>
      <c r="R97" s="530"/>
      <c r="S97" s="530"/>
      <c r="T97" s="530"/>
      <c r="U97" s="530"/>
      <c r="V97" s="530"/>
      <c r="W97" s="530"/>
      <c r="X97" s="530"/>
      <c r="Y97" s="530"/>
      <c r="Z97" s="530"/>
      <c r="AA97" s="529"/>
      <c r="AB97" s="529"/>
      <c r="AC97" s="529"/>
      <c r="AD97" s="529"/>
      <c r="AE97" s="8" t="str">
        <f>"Kat. 4"</f>
        <v>Kat. 4</v>
      </c>
      <c r="AF97" s="8" t="str">
        <f t="shared" si="13"/>
        <v>-</v>
      </c>
      <c r="AG97" s="8" t="str">
        <f t="shared" si="13"/>
        <v>-</v>
      </c>
      <c r="AH97" s="529"/>
      <c r="AI97" s="8"/>
      <c r="AJ97" s="8"/>
      <c r="AK97" s="8"/>
      <c r="AL97" s="8"/>
      <c r="AM97" s="8"/>
      <c r="AN97" s="8"/>
      <c r="AO97" s="8"/>
      <c r="AP97" s="8"/>
      <c r="AQ97" s="529"/>
      <c r="AR97" s="529"/>
    </row>
    <row r="98" spans="1:44" s="89" customFormat="1" x14ac:dyDescent="0.35">
      <c r="A98" s="265" t="str">
        <f t="shared" si="12"/>
        <v>Eigenfaktor --&gt;</v>
      </c>
      <c r="B98"/>
      <c r="C98" s="89" t="str">
        <f>CONCATENATE(EFs_Kühlmittel[[#This Row],[Thema]]," - ",EFs_Kühlmittel[[#This Row],[Bezeichnung]])</f>
        <v xml:space="preserve">Kühl_und_Kältemittel - </v>
      </c>
      <c r="D98" s="109" t="str">
        <f>"Kühl_und_Kältemittel"</f>
        <v>Kühl_und_Kältemittel</v>
      </c>
      <c r="E98" s="529"/>
      <c r="F98" s="529"/>
      <c r="G98" s="530"/>
      <c r="H98" s="529"/>
      <c r="I98" s="529"/>
      <c r="J98" s="529"/>
      <c r="K98" s="529"/>
      <c r="L98" s="529"/>
      <c r="M98" s="529"/>
      <c r="N98" s="529"/>
      <c r="O98" s="529"/>
      <c r="P98" s="529"/>
      <c r="Q98" s="530"/>
      <c r="R98" s="530"/>
      <c r="S98" s="530"/>
      <c r="T98" s="530"/>
      <c r="U98" s="530"/>
      <c r="V98" s="530"/>
      <c r="W98" s="530"/>
      <c r="X98" s="530"/>
      <c r="Y98" s="530"/>
      <c r="Z98" s="530"/>
      <c r="AA98" s="529"/>
      <c r="AB98" s="529"/>
      <c r="AC98" s="529"/>
      <c r="AD98" s="529"/>
      <c r="AE98" s="8" t="str">
        <f>"Kat. 4"</f>
        <v>Kat. 4</v>
      </c>
      <c r="AF98" s="8" t="str">
        <f t="shared" si="13"/>
        <v>-</v>
      </c>
      <c r="AG98" s="8" t="str">
        <f t="shared" si="13"/>
        <v>-</v>
      </c>
      <c r="AH98" s="529"/>
      <c r="AI98" s="8"/>
      <c r="AJ98" s="8"/>
      <c r="AK98" s="8"/>
      <c r="AL98" s="8"/>
      <c r="AM98" s="8"/>
      <c r="AN98" s="8"/>
      <c r="AO98" s="8"/>
      <c r="AP98" s="8"/>
      <c r="AQ98" s="529"/>
      <c r="AR98" s="529"/>
    </row>
    <row r="99" spans="1:44" s="89" customFormat="1" x14ac:dyDescent="0.35">
      <c r="A99" s="265" t="str">
        <f t="shared" si="12"/>
        <v>Eigenfaktor --&gt;</v>
      </c>
      <c r="B99"/>
      <c r="C99" s="89" t="str">
        <f>CONCATENATE(EFs_Kühlmittel[[#This Row],[Thema]]," - ",EFs_Kühlmittel[[#This Row],[Bezeichnung]])</f>
        <v xml:space="preserve">Kühl_und_Kältemittel - </v>
      </c>
      <c r="D99" s="109" t="str">
        <f>"Kühl_und_Kältemittel"</f>
        <v>Kühl_und_Kältemittel</v>
      </c>
      <c r="E99" s="529"/>
      <c r="F99" s="529"/>
      <c r="G99" s="530"/>
      <c r="H99" s="529"/>
      <c r="I99" s="529"/>
      <c r="J99" s="529"/>
      <c r="K99" s="529"/>
      <c r="L99" s="529"/>
      <c r="M99" s="529"/>
      <c r="N99" s="529"/>
      <c r="O99" s="529"/>
      <c r="P99" s="529"/>
      <c r="Q99" s="530"/>
      <c r="R99" s="530"/>
      <c r="S99" s="530"/>
      <c r="T99" s="530"/>
      <c r="U99" s="530"/>
      <c r="V99" s="530"/>
      <c r="W99" s="530"/>
      <c r="X99" s="530"/>
      <c r="Y99" s="530"/>
      <c r="Z99" s="530"/>
      <c r="AA99" s="529"/>
      <c r="AB99" s="529"/>
      <c r="AC99" s="529"/>
      <c r="AD99" s="529"/>
      <c r="AE99" s="8" t="str">
        <f>"Kat. 4"</f>
        <v>Kat. 4</v>
      </c>
      <c r="AF99" s="8" t="str">
        <f t="shared" si="13"/>
        <v>-</v>
      </c>
      <c r="AG99" s="8" t="str">
        <f t="shared" si="13"/>
        <v>-</v>
      </c>
      <c r="AH99" s="529"/>
      <c r="AI99" s="8"/>
      <c r="AJ99" s="8"/>
      <c r="AK99" s="8"/>
      <c r="AL99" s="8"/>
      <c r="AM99" s="8"/>
      <c r="AN99" s="8"/>
      <c r="AO99" s="8"/>
      <c r="AP99" s="8"/>
      <c r="AQ99" s="529"/>
      <c r="AR99" s="529"/>
    </row>
    <row r="100" spans="1:44" s="89" customFormat="1" x14ac:dyDescent="0.35">
      <c r="A100" s="265" t="str">
        <f t="shared" ref="A100:A103" si="14">"Eigenfaktor --&gt;"</f>
        <v>Eigenfaktor --&gt;</v>
      </c>
      <c r="B100"/>
      <c r="C100" s="89" t="str">
        <f>CONCATENATE(EFs_Kühlmittel[[#This Row],[Thema]]," - ",EFs_Kühlmittel[[#This Row],[Bezeichnung]])</f>
        <v xml:space="preserve">Kühl_und_Kältemittel - </v>
      </c>
      <c r="D100" s="109" t="str">
        <f t="shared" si="8"/>
        <v>Kühl_und_Kältemittel</v>
      </c>
      <c r="E100" s="529"/>
      <c r="F100" s="529"/>
      <c r="G100" s="531"/>
      <c r="H100" s="532"/>
      <c r="I100" s="532"/>
      <c r="J100" s="532"/>
      <c r="K100" s="532"/>
      <c r="L100" s="532"/>
      <c r="M100" s="532"/>
      <c r="N100" s="532"/>
      <c r="O100" s="532"/>
      <c r="P100" s="532"/>
      <c r="Q100" s="530"/>
      <c r="R100" s="530"/>
      <c r="S100" s="530"/>
      <c r="T100" s="530"/>
      <c r="U100" s="530"/>
      <c r="V100" s="530"/>
      <c r="W100" s="530"/>
      <c r="X100" s="530"/>
      <c r="Y100" s="530"/>
      <c r="Z100" s="530"/>
      <c r="AA100" s="529"/>
      <c r="AB100" s="529"/>
      <c r="AC100" s="529"/>
      <c r="AD100" s="529"/>
      <c r="AE100" s="8" t="str">
        <f t="shared" si="9"/>
        <v>Kat. 4</v>
      </c>
      <c r="AF100" s="8" t="str">
        <f t="shared" si="10"/>
        <v>-</v>
      </c>
      <c r="AG100" s="8" t="str">
        <f t="shared" si="11"/>
        <v>-</v>
      </c>
      <c r="AH100" s="529"/>
      <c r="AI100" s="8"/>
      <c r="AJ100" s="8"/>
      <c r="AK100" s="8"/>
      <c r="AL100" s="8"/>
      <c r="AM100" s="8"/>
      <c r="AN100" s="8"/>
      <c r="AO100" s="8"/>
      <c r="AP100" s="8"/>
      <c r="AQ100" s="529"/>
      <c r="AR100" s="529"/>
    </row>
    <row r="101" spans="1:44" s="89" customFormat="1" x14ac:dyDescent="0.35">
      <c r="A101" s="265" t="str">
        <f t="shared" si="14"/>
        <v>Eigenfaktor --&gt;</v>
      </c>
      <c r="B101"/>
      <c r="C101" s="89" t="str">
        <f>CONCATENATE(EFs_Kühlmittel[[#This Row],[Thema]]," - ",EFs_Kühlmittel[[#This Row],[Bezeichnung]])</f>
        <v xml:space="preserve">Kühl_und_Kältemittel - </v>
      </c>
      <c r="D101" s="109" t="str">
        <f t="shared" si="8"/>
        <v>Kühl_und_Kältemittel</v>
      </c>
      <c r="E101" s="529"/>
      <c r="F101" s="529"/>
      <c r="G101" s="531"/>
      <c r="H101" s="532"/>
      <c r="I101" s="532"/>
      <c r="J101" s="532"/>
      <c r="K101" s="532"/>
      <c r="L101" s="532"/>
      <c r="M101" s="532"/>
      <c r="N101" s="532"/>
      <c r="O101" s="532"/>
      <c r="P101" s="532"/>
      <c r="Q101" s="530"/>
      <c r="R101" s="530"/>
      <c r="S101" s="530"/>
      <c r="T101" s="530"/>
      <c r="U101" s="530"/>
      <c r="V101" s="530"/>
      <c r="W101" s="530"/>
      <c r="X101" s="530"/>
      <c r="Y101" s="530"/>
      <c r="Z101" s="530"/>
      <c r="AA101" s="529"/>
      <c r="AB101" s="529"/>
      <c r="AC101" s="529"/>
      <c r="AD101" s="529"/>
      <c r="AE101" s="8" t="str">
        <f t="shared" si="9"/>
        <v>Kat. 4</v>
      </c>
      <c r="AF101" s="8" t="str">
        <f t="shared" si="10"/>
        <v>-</v>
      </c>
      <c r="AG101" s="8" t="str">
        <f t="shared" si="11"/>
        <v>-</v>
      </c>
      <c r="AH101" s="529"/>
      <c r="AI101" s="8"/>
      <c r="AJ101" s="8"/>
      <c r="AK101" s="8"/>
      <c r="AL101" s="8"/>
      <c r="AM101" s="8"/>
      <c r="AN101" s="8"/>
      <c r="AO101" s="8"/>
      <c r="AP101" s="8"/>
      <c r="AQ101" s="529"/>
      <c r="AR101" s="529"/>
    </row>
    <row r="102" spans="1:44" s="89" customFormat="1" x14ac:dyDescent="0.35">
      <c r="A102" s="357" t="str">
        <f t="shared" si="14"/>
        <v>Eigenfaktor --&gt;</v>
      </c>
      <c r="C102" s="89" t="str">
        <f>CONCATENATE(EFs_Kühlmittel[[#This Row],[Thema]]," - ",EFs_Kühlmittel[[#This Row],[Bezeichnung]])</f>
        <v xml:space="preserve">Kühl_und_Kältemittel - </v>
      </c>
      <c r="D102" s="530" t="str">
        <f t="shared" si="8"/>
        <v>Kühl_und_Kältemittel</v>
      </c>
      <c r="E102" s="529"/>
      <c r="F102" s="529"/>
      <c r="G102" s="531"/>
      <c r="H102" s="532"/>
      <c r="I102" s="532"/>
      <c r="J102" s="532"/>
      <c r="K102" s="532"/>
      <c r="L102" s="532"/>
      <c r="M102" s="532"/>
      <c r="N102" s="532"/>
      <c r="O102" s="532"/>
      <c r="P102" s="532"/>
      <c r="Q102" s="530"/>
      <c r="R102" s="530"/>
      <c r="S102" s="530"/>
      <c r="T102" s="530"/>
      <c r="U102" s="530"/>
      <c r="V102" s="530"/>
      <c r="W102" s="530"/>
      <c r="X102" s="530"/>
      <c r="Y102" s="530"/>
      <c r="Z102" s="530"/>
      <c r="AA102" s="529"/>
      <c r="AB102" s="529"/>
      <c r="AC102" s="529"/>
      <c r="AD102" s="529"/>
      <c r="AE102" s="529" t="str">
        <f t="shared" si="9"/>
        <v>Kat. 4</v>
      </c>
      <c r="AF102" s="529" t="str">
        <f t="shared" si="10"/>
        <v>-</v>
      </c>
      <c r="AG102" s="529" t="str">
        <f t="shared" si="11"/>
        <v>-</v>
      </c>
      <c r="AH102" s="529"/>
      <c r="AI102" s="529"/>
      <c r="AJ102" s="529"/>
      <c r="AK102" s="529"/>
      <c r="AL102" s="529"/>
      <c r="AM102" s="529"/>
      <c r="AN102" s="529"/>
      <c r="AO102" s="529"/>
      <c r="AP102" s="529"/>
      <c r="AQ102" s="529"/>
      <c r="AR102" s="529"/>
    </row>
    <row r="103" spans="1:44" s="89" customFormat="1" x14ac:dyDescent="0.35">
      <c r="A103" s="357" t="str">
        <f t="shared" si="14"/>
        <v>Eigenfaktor --&gt;</v>
      </c>
      <c r="C103" s="89" t="str">
        <f>CONCATENATE(EFs_Kühlmittel[[#This Row],[Thema]]," - ",EFs_Kühlmittel[[#This Row],[Bezeichnung]])</f>
        <v xml:space="preserve">Kühl_und_Kältemittel - </v>
      </c>
      <c r="D103" s="530" t="str">
        <f t="shared" si="8"/>
        <v>Kühl_und_Kältemittel</v>
      </c>
      <c r="E103" s="529"/>
      <c r="F103" s="529"/>
      <c r="G103" s="531"/>
      <c r="H103" s="532"/>
      <c r="I103" s="532"/>
      <c r="J103" s="532"/>
      <c r="K103" s="532"/>
      <c r="L103" s="532"/>
      <c r="M103" s="532"/>
      <c r="N103" s="532"/>
      <c r="O103" s="532"/>
      <c r="P103" s="532"/>
      <c r="Q103" s="530"/>
      <c r="R103" s="530"/>
      <c r="S103" s="530"/>
      <c r="T103" s="530"/>
      <c r="U103" s="530"/>
      <c r="V103" s="530"/>
      <c r="W103" s="530"/>
      <c r="X103" s="530"/>
      <c r="Y103" s="530"/>
      <c r="Z103" s="530"/>
      <c r="AA103" s="529"/>
      <c r="AB103" s="529"/>
      <c r="AC103" s="529"/>
      <c r="AD103" s="529"/>
      <c r="AE103" s="529" t="str">
        <f t="shared" si="9"/>
        <v>Kat. 4</v>
      </c>
      <c r="AF103" s="529" t="str">
        <f t="shared" si="10"/>
        <v>-</v>
      </c>
      <c r="AG103" s="529" t="str">
        <f t="shared" si="11"/>
        <v>-</v>
      </c>
      <c r="AH103" s="529"/>
      <c r="AI103" s="529"/>
      <c r="AJ103" s="529"/>
      <c r="AK103" s="529"/>
      <c r="AL103" s="529"/>
      <c r="AM103" s="529"/>
      <c r="AN103" s="529"/>
      <c r="AO103" s="529"/>
      <c r="AP103" s="529"/>
      <c r="AQ103" s="529"/>
      <c r="AR103" s="529"/>
    </row>
    <row r="104" spans="1:44" s="89" customFormat="1" x14ac:dyDescent="0.35">
      <c r="D104" s="530"/>
      <c r="E104" s="529"/>
      <c r="F104" s="529"/>
      <c r="G104" s="529"/>
      <c r="H104" s="529"/>
      <c r="I104" s="529"/>
      <c r="J104" s="529"/>
      <c r="K104" s="529"/>
      <c r="L104" s="529"/>
      <c r="M104" s="529"/>
      <c r="N104" s="529"/>
      <c r="O104" s="529"/>
      <c r="P104" s="529"/>
      <c r="Q104" s="529"/>
      <c r="R104" s="529"/>
      <c r="S104" s="529"/>
      <c r="T104" s="529"/>
      <c r="U104" s="529"/>
      <c r="V104" s="529"/>
      <c r="W104" s="529"/>
      <c r="X104" s="529"/>
      <c r="Y104" s="529"/>
      <c r="Z104" s="529"/>
      <c r="AA104" s="529"/>
      <c r="AB104" s="529"/>
      <c r="AC104" s="529"/>
      <c r="AD104" s="529"/>
      <c r="AE104" s="529"/>
      <c r="AF104" s="529"/>
      <c r="AG104" s="529"/>
      <c r="AH104" s="529"/>
      <c r="AI104" s="529"/>
      <c r="AJ104" s="529"/>
      <c r="AK104" s="529"/>
      <c r="AL104" s="529"/>
      <c r="AM104" s="529"/>
      <c r="AN104" s="529"/>
      <c r="AO104" s="529"/>
      <c r="AP104" s="529"/>
      <c r="AQ104" s="529"/>
      <c r="AR104" s="529"/>
    </row>
    <row r="105" spans="1:44" ht="58" x14ac:dyDescent="0.35">
      <c r="A105" s="685" t="s">
        <v>12</v>
      </c>
      <c r="B105" s="685"/>
      <c r="C105" s="151" t="s">
        <v>46</v>
      </c>
      <c r="D105" s="151" t="s">
        <v>0</v>
      </c>
      <c r="E105" s="151" t="s">
        <v>1</v>
      </c>
      <c r="F105" s="151" t="s">
        <v>53</v>
      </c>
      <c r="G105" s="151" t="s">
        <v>485</v>
      </c>
      <c r="H105" s="151" t="s">
        <v>435</v>
      </c>
      <c r="I105" s="151" t="s">
        <v>436</v>
      </c>
      <c r="J105" s="151" t="s">
        <v>437</v>
      </c>
      <c r="K105" s="151" t="s">
        <v>469</v>
      </c>
      <c r="L105" s="151" t="s">
        <v>468</v>
      </c>
      <c r="M105" s="151" t="s">
        <v>467</v>
      </c>
      <c r="N105" s="151" t="s">
        <v>466</v>
      </c>
      <c r="O105" s="151" t="s">
        <v>538</v>
      </c>
      <c r="P105" s="151" t="s">
        <v>438</v>
      </c>
      <c r="Q105" s="151" t="s">
        <v>486</v>
      </c>
      <c r="R105" s="151" t="s">
        <v>439</v>
      </c>
      <c r="S105" s="151" t="s">
        <v>440</v>
      </c>
      <c r="T105" s="151" t="s">
        <v>441</v>
      </c>
      <c r="U105" s="151" t="s">
        <v>470</v>
      </c>
      <c r="V105" s="151" t="s">
        <v>471</v>
      </c>
      <c r="W105" s="151" t="s">
        <v>472</v>
      </c>
      <c r="X105" s="151" t="s">
        <v>473</v>
      </c>
      <c r="Y105" s="151" t="s">
        <v>539</v>
      </c>
      <c r="Z105" s="151" t="s">
        <v>487</v>
      </c>
      <c r="AA105" s="151" t="s">
        <v>2</v>
      </c>
      <c r="AB105" s="151" t="s">
        <v>3</v>
      </c>
      <c r="AC105" s="151" t="s">
        <v>4</v>
      </c>
      <c r="AD105" s="151" t="s">
        <v>21</v>
      </c>
      <c r="AE105" s="151" t="s">
        <v>277</v>
      </c>
      <c r="AF105" s="151" t="s">
        <v>278</v>
      </c>
      <c r="AG105" s="151" t="s">
        <v>279</v>
      </c>
    </row>
    <row r="106" spans="1:44" x14ac:dyDescent="0.35">
      <c r="A106"/>
      <c r="B106"/>
      <c r="C106" t="str">
        <f>CONCATENATE(EFs_Fuhrpark[[#This Row],[Thema]]," - ",EFs_Fuhrpark[[#This Row],[Bezeichnung]])</f>
        <v>Fuhrpark - Benzin</v>
      </c>
      <c r="D106" s="109" t="str">
        <f t="shared" ref="D106:D120" si="15">"Fuhrpark"</f>
        <v>Fuhrpark</v>
      </c>
      <c r="E106" s="8" t="s">
        <v>27</v>
      </c>
      <c r="F106" s="8" t="s">
        <v>25</v>
      </c>
      <c r="G106" s="109">
        <v>2.3607963999999999</v>
      </c>
      <c r="H106" s="8">
        <v>2.3516547000000001</v>
      </c>
      <c r="I106" s="8">
        <v>2.3010000000000001E-4</v>
      </c>
      <c r="J106" s="8">
        <v>1.0200000000000001E-5</v>
      </c>
      <c r="K106" s="8">
        <v>0</v>
      </c>
      <c r="L106" s="8">
        <v>0</v>
      </c>
      <c r="M106" s="8">
        <v>0</v>
      </c>
      <c r="N106" s="8">
        <v>0</v>
      </c>
      <c r="O106" s="8">
        <v>0</v>
      </c>
      <c r="P106" s="8">
        <v>0</v>
      </c>
      <c r="Q106" s="109">
        <v>0</v>
      </c>
      <c r="R106" s="8">
        <v>0</v>
      </c>
      <c r="S106" s="8">
        <v>0</v>
      </c>
      <c r="T106" s="8">
        <v>0</v>
      </c>
      <c r="U106" s="8">
        <v>0</v>
      </c>
      <c r="V106" s="8">
        <v>0</v>
      </c>
      <c r="W106" s="8">
        <v>0</v>
      </c>
      <c r="X106" s="8">
        <v>0</v>
      </c>
      <c r="Y106" s="8">
        <v>0</v>
      </c>
      <c r="Z106" s="109">
        <v>0.74967450000000002</v>
      </c>
      <c r="AA106" s="153" t="s">
        <v>662</v>
      </c>
      <c r="AB106" s="8" t="s">
        <v>125</v>
      </c>
      <c r="AC106" s="153" t="s">
        <v>662</v>
      </c>
      <c r="AD106" s="8" t="s">
        <v>686</v>
      </c>
      <c r="AE106" s="8" t="s">
        <v>85</v>
      </c>
      <c r="AF106" s="8" t="s">
        <v>125</v>
      </c>
      <c r="AG106" s="8" t="s">
        <v>86</v>
      </c>
    </row>
    <row r="107" spans="1:44" x14ac:dyDescent="0.35">
      <c r="A107"/>
      <c r="B107"/>
      <c r="C107" t="str">
        <f>CONCATENATE(EFs_Fuhrpark[[#This Row],[Thema]]," - ",EFs_Fuhrpark[[#This Row],[Bezeichnung]])</f>
        <v>Fuhrpark - Diesel</v>
      </c>
      <c r="D107" s="109" t="str">
        <f t="shared" si="15"/>
        <v>Fuhrpark</v>
      </c>
      <c r="E107" s="8" t="s">
        <v>28</v>
      </c>
      <c r="F107" s="8" t="s">
        <v>25</v>
      </c>
      <c r="G107" s="109">
        <v>2.6769343999999999</v>
      </c>
      <c r="H107" s="8">
        <v>2.6392578000000002</v>
      </c>
      <c r="I107" s="8">
        <v>6.69E-5</v>
      </c>
      <c r="J107" s="8">
        <v>1.351E-4</v>
      </c>
      <c r="K107" s="8">
        <v>0</v>
      </c>
      <c r="L107" s="8">
        <v>0</v>
      </c>
      <c r="M107" s="8">
        <v>0</v>
      </c>
      <c r="N107" s="8">
        <v>0</v>
      </c>
      <c r="O107" s="8">
        <v>0</v>
      </c>
      <c r="P107" s="8">
        <v>0</v>
      </c>
      <c r="Q107" s="109">
        <v>0</v>
      </c>
      <c r="R107" s="8">
        <v>0</v>
      </c>
      <c r="S107" s="8">
        <v>0</v>
      </c>
      <c r="T107" s="8">
        <v>0</v>
      </c>
      <c r="U107" s="8">
        <v>0</v>
      </c>
      <c r="V107" s="8">
        <v>0</v>
      </c>
      <c r="W107" s="8">
        <v>0</v>
      </c>
      <c r="X107" s="8">
        <v>0</v>
      </c>
      <c r="Y107" s="8">
        <v>0</v>
      </c>
      <c r="Z107" s="109">
        <v>0.83390819999999999</v>
      </c>
      <c r="AA107" s="153" t="s">
        <v>662</v>
      </c>
      <c r="AB107" s="8" t="s">
        <v>125</v>
      </c>
      <c r="AC107" s="153" t="s">
        <v>662</v>
      </c>
      <c r="AD107" s="8" t="s">
        <v>687</v>
      </c>
      <c r="AE107" s="8" t="s">
        <v>85</v>
      </c>
      <c r="AF107" s="8" t="s">
        <v>125</v>
      </c>
      <c r="AG107" s="8" t="s">
        <v>86</v>
      </c>
    </row>
    <row r="108" spans="1:44" x14ac:dyDescent="0.35">
      <c r="A108"/>
      <c r="B108"/>
      <c r="C108" t="str">
        <f>CONCATENATE(EFs_Fuhrpark[[#This Row],[Thema]]," - ",EFs_Fuhrpark[[#This Row],[Bezeichnung]])</f>
        <v>Fuhrpark - Autogas (LPG)</v>
      </c>
      <c r="D108" s="109" t="str">
        <f t="shared" si="15"/>
        <v>Fuhrpark</v>
      </c>
      <c r="E108" s="8" t="s">
        <v>29</v>
      </c>
      <c r="F108" s="8" t="s">
        <v>25</v>
      </c>
      <c r="G108" s="109">
        <v>1.8621757999999999</v>
      </c>
      <c r="H108" s="8">
        <v>1.8546050000000001</v>
      </c>
      <c r="I108" s="8">
        <v>5.3000000000000001E-5</v>
      </c>
      <c r="J108" s="8">
        <v>2.3E-5</v>
      </c>
      <c r="K108" s="8">
        <v>0</v>
      </c>
      <c r="L108" s="8">
        <v>0</v>
      </c>
      <c r="M108" s="8">
        <v>0</v>
      </c>
      <c r="N108" s="8">
        <v>0</v>
      </c>
      <c r="O108" s="8">
        <v>0</v>
      </c>
      <c r="P108" s="8">
        <v>0</v>
      </c>
      <c r="Q108" s="109">
        <v>0</v>
      </c>
      <c r="R108" s="8">
        <v>0</v>
      </c>
      <c r="S108" s="8">
        <v>0</v>
      </c>
      <c r="T108" s="8">
        <v>0</v>
      </c>
      <c r="U108" s="8">
        <v>0</v>
      </c>
      <c r="V108" s="8">
        <v>0</v>
      </c>
      <c r="W108" s="8">
        <v>0</v>
      </c>
      <c r="X108" s="8">
        <v>0</v>
      </c>
      <c r="Y108" s="8">
        <v>0</v>
      </c>
      <c r="Z108" s="109">
        <v>0.64058910000000002</v>
      </c>
      <c r="AA108" s="153" t="s">
        <v>662</v>
      </c>
      <c r="AB108" s="8" t="s">
        <v>125</v>
      </c>
      <c r="AC108" s="153" t="s">
        <v>662</v>
      </c>
      <c r="AD108" s="8" t="s">
        <v>688</v>
      </c>
      <c r="AE108" s="8" t="s">
        <v>85</v>
      </c>
      <c r="AF108" s="8" t="s">
        <v>125</v>
      </c>
      <c r="AG108" s="8" t="s">
        <v>86</v>
      </c>
    </row>
    <row r="109" spans="1:44" x14ac:dyDescent="0.35">
      <c r="A109"/>
      <c r="B109"/>
      <c r="C109" t="str">
        <f>CONCATENATE(EFs_Fuhrpark[[#This Row],[Thema]]," - ",EFs_Fuhrpark[[#This Row],[Bezeichnung]])</f>
        <v>Fuhrpark - Erdgas (CNG)</v>
      </c>
      <c r="D109" s="109" t="str">
        <f t="shared" si="15"/>
        <v>Fuhrpark</v>
      </c>
      <c r="E109" s="8" t="s">
        <v>30</v>
      </c>
      <c r="F109" s="8" t="s">
        <v>26</v>
      </c>
      <c r="G109" s="109">
        <v>2.6382973999999999</v>
      </c>
      <c r="H109" s="8">
        <v>2.6203644000000001</v>
      </c>
      <c r="I109" s="8">
        <v>6.4050000000000001E-4</v>
      </c>
      <c r="J109" s="8">
        <v>0</v>
      </c>
      <c r="K109" s="8">
        <v>0</v>
      </c>
      <c r="L109" s="8">
        <v>0</v>
      </c>
      <c r="M109" s="8">
        <v>0</v>
      </c>
      <c r="N109" s="8">
        <v>0</v>
      </c>
      <c r="O109" s="8">
        <v>0</v>
      </c>
      <c r="P109" s="8">
        <v>0</v>
      </c>
      <c r="Q109" s="109">
        <v>0</v>
      </c>
      <c r="R109" s="8">
        <v>0</v>
      </c>
      <c r="S109" s="8">
        <v>0</v>
      </c>
      <c r="T109" s="8">
        <v>0</v>
      </c>
      <c r="U109" s="8">
        <v>0</v>
      </c>
      <c r="V109" s="8">
        <v>0</v>
      </c>
      <c r="W109" s="8">
        <v>0</v>
      </c>
      <c r="X109" s="8">
        <v>0</v>
      </c>
      <c r="Y109" s="8">
        <v>0</v>
      </c>
      <c r="Z109" s="109">
        <v>0.94174139999999995</v>
      </c>
      <c r="AA109" s="153" t="s">
        <v>664</v>
      </c>
      <c r="AB109" s="8" t="s">
        <v>125</v>
      </c>
      <c r="AC109" s="8" t="s">
        <v>664</v>
      </c>
      <c r="AD109" s="8" t="s">
        <v>689</v>
      </c>
      <c r="AE109" s="8" t="s">
        <v>85</v>
      </c>
      <c r="AF109" s="8" t="s">
        <v>125</v>
      </c>
      <c r="AG109" s="8" t="s">
        <v>86</v>
      </c>
    </row>
    <row r="110" spans="1:44" s="15" customFormat="1" x14ac:dyDescent="0.35">
      <c r="C110" s="15" t="str">
        <f>CONCATENATE(EFs_Fuhrpark[[#This Row],[Thema]]," - ",EFs_Fuhrpark[[#This Row],[Bezeichnung]])</f>
        <v>Fuhrpark - Strom (externes Laden, Deutschland)</v>
      </c>
      <c r="D110" s="445" t="str">
        <f t="shared" si="15"/>
        <v>Fuhrpark</v>
      </c>
      <c r="E110" s="528" t="s">
        <v>476</v>
      </c>
      <c r="F110" s="153" t="s">
        <v>24</v>
      </c>
      <c r="G110" s="445">
        <v>0</v>
      </c>
      <c r="H110" s="8">
        <v>0</v>
      </c>
      <c r="I110" s="8">
        <v>0</v>
      </c>
      <c r="J110" s="8">
        <v>0</v>
      </c>
      <c r="K110" s="8">
        <v>0</v>
      </c>
      <c r="L110" s="8">
        <v>0</v>
      </c>
      <c r="M110" s="8">
        <v>0</v>
      </c>
      <c r="N110" s="8">
        <v>0</v>
      </c>
      <c r="O110" s="8">
        <v>0</v>
      </c>
      <c r="P110" s="8">
        <v>0</v>
      </c>
      <c r="Q110" s="109">
        <v>0.37158449999999998</v>
      </c>
      <c r="R110" s="8">
        <v>0.36338670000000001</v>
      </c>
      <c r="S110" s="8">
        <v>1.9440000000000001E-4</v>
      </c>
      <c r="T110" s="8">
        <v>1.04E-5</v>
      </c>
      <c r="U110" s="8">
        <v>0</v>
      </c>
      <c r="V110" s="8">
        <v>0</v>
      </c>
      <c r="W110" s="8">
        <v>0</v>
      </c>
      <c r="X110" s="8">
        <v>0</v>
      </c>
      <c r="Y110" s="8">
        <v>0</v>
      </c>
      <c r="Z110" s="109">
        <v>5.5327899999999999E-2</v>
      </c>
      <c r="AA110" s="153" t="s">
        <v>125</v>
      </c>
      <c r="AB110" s="153" t="s">
        <v>662</v>
      </c>
      <c r="AC110" s="153" t="s">
        <v>662</v>
      </c>
      <c r="AD110" s="153" t="s">
        <v>679</v>
      </c>
      <c r="AE110" s="153" t="s">
        <v>125</v>
      </c>
      <c r="AF110" s="153" t="s">
        <v>84</v>
      </c>
      <c r="AG110" s="153" t="s">
        <v>86</v>
      </c>
      <c r="AH110" s="153"/>
      <c r="AI110" s="153"/>
      <c r="AJ110" s="153"/>
      <c r="AK110" s="153"/>
      <c r="AL110" s="153"/>
      <c r="AM110" s="153"/>
      <c r="AN110" s="153"/>
      <c r="AO110" s="153"/>
      <c r="AP110" s="153"/>
      <c r="AQ110" s="153"/>
      <c r="AR110" s="153"/>
    </row>
    <row r="111" spans="1:44" s="89" customFormat="1" x14ac:dyDescent="0.35">
      <c r="A111" s="265" t="str">
        <f>"Eigenfaktor --&gt;"</f>
        <v>Eigenfaktor --&gt;</v>
      </c>
      <c r="B111"/>
      <c r="C111" s="89" t="str">
        <f>CONCATENATE(EFs_Fuhrpark[[#This Row],[Thema]]," - ",EFs_Fuhrpark[[#This Row],[Bezeichnung]])</f>
        <v xml:space="preserve">Fuhrpark - </v>
      </c>
      <c r="D111" s="109" t="str">
        <f t="shared" si="15"/>
        <v>Fuhrpark</v>
      </c>
      <c r="E111" s="529"/>
      <c r="F111" s="529"/>
      <c r="G111" s="530"/>
      <c r="H111" s="529"/>
      <c r="I111" s="529"/>
      <c r="J111" s="529"/>
      <c r="K111" s="529"/>
      <c r="L111" s="529"/>
      <c r="M111" s="529"/>
      <c r="N111" s="529"/>
      <c r="O111" s="529"/>
      <c r="P111" s="529"/>
      <c r="Q111" s="530"/>
      <c r="R111" s="529"/>
      <c r="S111" s="529"/>
      <c r="T111" s="529"/>
      <c r="U111" s="529"/>
      <c r="V111" s="529"/>
      <c r="W111" s="529"/>
      <c r="X111" s="529"/>
      <c r="Y111" s="529"/>
      <c r="Z111" s="530"/>
      <c r="AA111" s="529"/>
      <c r="AB111" s="529"/>
      <c r="AC111" s="529"/>
      <c r="AD111" s="529"/>
      <c r="AE111" s="529"/>
      <c r="AF111" s="529"/>
      <c r="AG111" s="529"/>
      <c r="AH111" s="529"/>
      <c r="AI111" s="8"/>
      <c r="AJ111" s="8"/>
      <c r="AK111" s="8"/>
      <c r="AL111" s="8"/>
      <c r="AM111" s="8"/>
      <c r="AN111" s="8"/>
      <c r="AO111" s="8"/>
      <c r="AP111" s="8"/>
      <c r="AQ111" s="529"/>
      <c r="AR111" s="529"/>
    </row>
    <row r="112" spans="1:44" s="89" customFormat="1" x14ac:dyDescent="0.35">
      <c r="A112" s="265" t="str">
        <f t="shared" ref="A112:A116" si="16">"Eigenfaktor --&gt;"</f>
        <v>Eigenfaktor --&gt;</v>
      </c>
      <c r="B112"/>
      <c r="C112" s="89" t="str">
        <f>CONCATENATE(EFs_Fuhrpark[[#This Row],[Thema]]," - ",EFs_Fuhrpark[[#This Row],[Bezeichnung]])</f>
        <v xml:space="preserve">Fuhrpark - </v>
      </c>
      <c r="D112" s="109" t="str">
        <f>"Fuhrpark"</f>
        <v>Fuhrpark</v>
      </c>
      <c r="E112" s="529"/>
      <c r="F112" s="529"/>
      <c r="G112" s="530"/>
      <c r="H112" s="529"/>
      <c r="I112" s="529"/>
      <c r="J112" s="529"/>
      <c r="K112" s="529"/>
      <c r="L112" s="529"/>
      <c r="M112" s="529"/>
      <c r="N112" s="529"/>
      <c r="O112" s="529"/>
      <c r="P112" s="529"/>
      <c r="Q112" s="530"/>
      <c r="R112" s="529"/>
      <c r="S112" s="529"/>
      <c r="T112" s="529"/>
      <c r="U112" s="529"/>
      <c r="V112" s="529"/>
      <c r="W112" s="529"/>
      <c r="X112" s="529"/>
      <c r="Y112" s="529"/>
      <c r="Z112" s="530"/>
      <c r="AA112" s="529"/>
      <c r="AB112" s="529"/>
      <c r="AC112" s="529"/>
      <c r="AD112" s="529"/>
      <c r="AE112" s="529"/>
      <c r="AF112" s="529"/>
      <c r="AG112" s="529"/>
      <c r="AH112" s="529"/>
      <c r="AI112" s="8"/>
      <c r="AJ112" s="8"/>
      <c r="AK112" s="8"/>
      <c r="AL112" s="8"/>
      <c r="AM112" s="8"/>
      <c r="AN112" s="8"/>
      <c r="AO112" s="8"/>
      <c r="AP112" s="8"/>
      <c r="AQ112" s="529"/>
      <c r="AR112" s="529"/>
    </row>
    <row r="113" spans="1:44" s="89" customFormat="1" x14ac:dyDescent="0.35">
      <c r="A113" s="265" t="str">
        <f t="shared" si="16"/>
        <v>Eigenfaktor --&gt;</v>
      </c>
      <c r="B113"/>
      <c r="C113" s="89" t="str">
        <f>CONCATENATE(EFs_Fuhrpark[[#This Row],[Thema]]," - ",EFs_Fuhrpark[[#This Row],[Bezeichnung]])</f>
        <v xml:space="preserve">Fuhrpark - </v>
      </c>
      <c r="D113" s="109" t="str">
        <f>"Fuhrpark"</f>
        <v>Fuhrpark</v>
      </c>
      <c r="E113" s="529"/>
      <c r="F113" s="529"/>
      <c r="G113" s="530"/>
      <c r="H113" s="529"/>
      <c r="I113" s="529"/>
      <c r="J113" s="529"/>
      <c r="K113" s="529"/>
      <c r="L113" s="529"/>
      <c r="M113" s="529"/>
      <c r="N113" s="529"/>
      <c r="O113" s="529"/>
      <c r="P113" s="529"/>
      <c r="Q113" s="530"/>
      <c r="R113" s="529"/>
      <c r="S113" s="529"/>
      <c r="T113" s="529"/>
      <c r="U113" s="529"/>
      <c r="V113" s="529"/>
      <c r="W113" s="529"/>
      <c r="X113" s="529"/>
      <c r="Y113" s="529"/>
      <c r="Z113" s="530"/>
      <c r="AA113" s="529"/>
      <c r="AB113" s="529"/>
      <c r="AC113" s="529"/>
      <c r="AD113" s="529"/>
      <c r="AE113" s="529"/>
      <c r="AF113" s="529"/>
      <c r="AG113" s="529"/>
      <c r="AH113" s="529"/>
      <c r="AI113" s="8"/>
      <c r="AJ113" s="8"/>
      <c r="AK113" s="8"/>
      <c r="AL113" s="8"/>
      <c r="AM113" s="8"/>
      <c r="AN113" s="8"/>
      <c r="AO113" s="8"/>
      <c r="AP113" s="8"/>
      <c r="AQ113" s="529"/>
      <c r="AR113" s="529"/>
    </row>
    <row r="114" spans="1:44" s="89" customFormat="1" x14ac:dyDescent="0.35">
      <c r="A114" s="265" t="str">
        <f t="shared" si="16"/>
        <v>Eigenfaktor --&gt;</v>
      </c>
      <c r="B114"/>
      <c r="C114" s="89" t="str">
        <f>CONCATENATE(EFs_Fuhrpark[[#This Row],[Thema]]," - ",EFs_Fuhrpark[[#This Row],[Bezeichnung]])</f>
        <v xml:space="preserve">Fuhrpark - </v>
      </c>
      <c r="D114" s="109" t="str">
        <f>"Fuhrpark"</f>
        <v>Fuhrpark</v>
      </c>
      <c r="E114" s="529"/>
      <c r="F114" s="529"/>
      <c r="G114" s="530"/>
      <c r="H114" s="530"/>
      <c r="I114" s="530"/>
      <c r="J114" s="530"/>
      <c r="K114" s="529"/>
      <c r="L114" s="529"/>
      <c r="M114" s="529"/>
      <c r="N114" s="529"/>
      <c r="O114" s="529"/>
      <c r="P114" s="529"/>
      <c r="Q114" s="530"/>
      <c r="R114" s="529"/>
      <c r="S114" s="529"/>
      <c r="T114" s="529"/>
      <c r="U114" s="529"/>
      <c r="V114" s="529"/>
      <c r="W114" s="529"/>
      <c r="X114" s="529"/>
      <c r="Y114" s="529"/>
      <c r="Z114" s="530"/>
      <c r="AA114" s="529"/>
      <c r="AB114" s="529"/>
      <c r="AC114" s="529"/>
      <c r="AD114" s="529"/>
      <c r="AE114" s="529"/>
      <c r="AF114" s="529"/>
      <c r="AG114" s="529"/>
      <c r="AH114" s="529"/>
      <c r="AI114" s="8"/>
      <c r="AJ114" s="8"/>
      <c r="AK114" s="8"/>
      <c r="AL114" s="8"/>
      <c r="AM114" s="8"/>
      <c r="AN114" s="8"/>
      <c r="AO114" s="8"/>
      <c r="AP114" s="8"/>
      <c r="AQ114" s="529"/>
      <c r="AR114" s="529"/>
    </row>
    <row r="115" spans="1:44" s="89" customFormat="1" x14ac:dyDescent="0.35">
      <c r="A115" s="265" t="str">
        <f t="shared" si="16"/>
        <v>Eigenfaktor --&gt;</v>
      </c>
      <c r="B115"/>
      <c r="C115" s="89" t="str">
        <f>CONCATENATE(EFs_Fuhrpark[[#This Row],[Thema]]," - ",EFs_Fuhrpark[[#This Row],[Bezeichnung]])</f>
        <v xml:space="preserve">Fuhrpark - </v>
      </c>
      <c r="D115" s="109" t="str">
        <f>"Fuhrpark"</f>
        <v>Fuhrpark</v>
      </c>
      <c r="E115" s="529"/>
      <c r="F115" s="529"/>
      <c r="G115" s="530"/>
      <c r="H115" s="529"/>
      <c r="I115" s="529"/>
      <c r="J115" s="529"/>
      <c r="K115" s="529"/>
      <c r="L115" s="529"/>
      <c r="M115" s="529"/>
      <c r="N115" s="529"/>
      <c r="O115" s="529"/>
      <c r="P115" s="529"/>
      <c r="Q115" s="530"/>
      <c r="R115" s="529"/>
      <c r="S115" s="529"/>
      <c r="T115" s="529"/>
      <c r="U115" s="529"/>
      <c r="V115" s="529"/>
      <c r="W115" s="529"/>
      <c r="X115" s="529"/>
      <c r="Y115" s="529"/>
      <c r="Z115" s="530"/>
      <c r="AA115" s="529"/>
      <c r="AB115" s="529"/>
      <c r="AC115" s="529"/>
      <c r="AD115" s="529"/>
      <c r="AE115" s="529"/>
      <c r="AF115" s="529"/>
      <c r="AG115" s="529"/>
      <c r="AH115" s="529"/>
      <c r="AI115" s="8"/>
      <c r="AJ115" s="8"/>
      <c r="AK115" s="8"/>
      <c r="AL115" s="8"/>
      <c r="AM115" s="8"/>
      <c r="AN115" s="8"/>
      <c r="AO115" s="8"/>
      <c r="AP115" s="8"/>
      <c r="AQ115" s="529"/>
      <c r="AR115" s="529"/>
    </row>
    <row r="116" spans="1:44" s="89" customFormat="1" x14ac:dyDescent="0.35">
      <c r="A116" s="265" t="str">
        <f t="shared" si="16"/>
        <v>Eigenfaktor --&gt;</v>
      </c>
      <c r="B116"/>
      <c r="C116" s="89" t="str">
        <f>CONCATENATE(EFs_Fuhrpark[[#This Row],[Thema]]," - ",EFs_Fuhrpark[[#This Row],[Bezeichnung]])</f>
        <v xml:space="preserve">Fuhrpark - </v>
      </c>
      <c r="D116" s="109" t="str">
        <f>"Fuhrpark"</f>
        <v>Fuhrpark</v>
      </c>
      <c r="E116" s="529"/>
      <c r="F116" s="529"/>
      <c r="G116" s="530"/>
      <c r="H116" s="529"/>
      <c r="I116" s="529"/>
      <c r="J116" s="529"/>
      <c r="K116" s="529"/>
      <c r="L116" s="529"/>
      <c r="M116" s="529"/>
      <c r="N116" s="529"/>
      <c r="O116" s="529"/>
      <c r="P116" s="529"/>
      <c r="Q116" s="530"/>
      <c r="R116" s="529"/>
      <c r="S116" s="529"/>
      <c r="T116" s="529"/>
      <c r="U116" s="529"/>
      <c r="V116" s="529"/>
      <c r="W116" s="529"/>
      <c r="X116" s="529"/>
      <c r="Y116" s="529"/>
      <c r="Z116" s="530"/>
      <c r="AA116" s="529"/>
      <c r="AB116" s="529"/>
      <c r="AC116" s="529"/>
      <c r="AD116" s="529"/>
      <c r="AE116" s="529"/>
      <c r="AF116" s="529"/>
      <c r="AG116" s="529"/>
      <c r="AH116" s="529"/>
      <c r="AI116" s="8"/>
      <c r="AJ116" s="8"/>
      <c r="AK116" s="8"/>
      <c r="AL116" s="8"/>
      <c r="AM116" s="8"/>
      <c r="AN116" s="8"/>
      <c r="AO116" s="8"/>
      <c r="AP116" s="8"/>
      <c r="AQ116" s="529"/>
      <c r="AR116" s="529"/>
    </row>
    <row r="117" spans="1:44" s="89" customFormat="1" x14ac:dyDescent="0.35">
      <c r="A117" s="265" t="str">
        <f t="shared" ref="A117:A120" si="17">"Eigenfaktor --&gt;"</f>
        <v>Eigenfaktor --&gt;</v>
      </c>
      <c r="B117"/>
      <c r="C117" s="89" t="str">
        <f>CONCATENATE(EFs_Fuhrpark[[#This Row],[Thema]]," - ",EFs_Fuhrpark[[#This Row],[Bezeichnung]])</f>
        <v xml:space="preserve">Fuhrpark - </v>
      </c>
      <c r="D117" s="109" t="str">
        <f t="shared" si="15"/>
        <v>Fuhrpark</v>
      </c>
      <c r="E117" s="529"/>
      <c r="F117" s="529"/>
      <c r="G117" s="530"/>
      <c r="H117" s="529"/>
      <c r="I117" s="529"/>
      <c r="J117" s="529"/>
      <c r="K117" s="529"/>
      <c r="L117" s="529"/>
      <c r="M117" s="529"/>
      <c r="N117" s="529"/>
      <c r="O117" s="529"/>
      <c r="P117" s="529"/>
      <c r="Q117" s="530"/>
      <c r="R117" s="529"/>
      <c r="S117" s="529"/>
      <c r="T117" s="529"/>
      <c r="U117" s="529"/>
      <c r="V117" s="529"/>
      <c r="W117" s="529"/>
      <c r="X117" s="529"/>
      <c r="Y117" s="529"/>
      <c r="Z117" s="530"/>
      <c r="AA117" s="529"/>
      <c r="AB117" s="529"/>
      <c r="AC117" s="529"/>
      <c r="AD117" s="529"/>
      <c r="AE117" s="529"/>
      <c r="AF117" s="529"/>
      <c r="AG117" s="529"/>
      <c r="AH117" s="529"/>
      <c r="AI117" s="8"/>
      <c r="AJ117" s="8"/>
      <c r="AK117" s="8"/>
      <c r="AL117" s="8"/>
      <c r="AM117" s="8"/>
      <c r="AN117" s="8"/>
      <c r="AO117" s="8"/>
      <c r="AP117" s="8"/>
      <c r="AQ117" s="529"/>
      <c r="AR117" s="529"/>
    </row>
    <row r="118" spans="1:44" s="89" customFormat="1" x14ac:dyDescent="0.35">
      <c r="A118" s="265" t="str">
        <f t="shared" si="17"/>
        <v>Eigenfaktor --&gt;</v>
      </c>
      <c r="B118"/>
      <c r="C118" s="89" t="str">
        <f>CONCATENATE(EFs_Fuhrpark[[#This Row],[Thema]]," - ",EFs_Fuhrpark[[#This Row],[Bezeichnung]])</f>
        <v xml:space="preserve">Fuhrpark - </v>
      </c>
      <c r="D118" s="109" t="str">
        <f t="shared" si="15"/>
        <v>Fuhrpark</v>
      </c>
      <c r="E118" s="529"/>
      <c r="F118" s="529"/>
      <c r="G118" s="530"/>
      <c r="H118" s="529"/>
      <c r="I118" s="529"/>
      <c r="J118" s="529"/>
      <c r="K118" s="529"/>
      <c r="L118" s="529"/>
      <c r="M118" s="529"/>
      <c r="N118" s="529"/>
      <c r="O118" s="529"/>
      <c r="P118" s="529"/>
      <c r="Q118" s="530"/>
      <c r="R118" s="529"/>
      <c r="S118" s="529"/>
      <c r="T118" s="529"/>
      <c r="U118" s="529"/>
      <c r="V118" s="529"/>
      <c r="W118" s="529"/>
      <c r="X118" s="529"/>
      <c r="Y118" s="529"/>
      <c r="Z118" s="530"/>
      <c r="AA118" s="529"/>
      <c r="AB118" s="529"/>
      <c r="AC118" s="529"/>
      <c r="AD118" s="529"/>
      <c r="AE118" s="529"/>
      <c r="AF118" s="529"/>
      <c r="AG118" s="529"/>
      <c r="AH118" s="529"/>
      <c r="AI118" s="8"/>
      <c r="AJ118" s="8"/>
      <c r="AK118" s="8"/>
      <c r="AL118" s="8"/>
      <c r="AM118" s="8"/>
      <c r="AN118" s="8"/>
      <c r="AO118" s="8"/>
      <c r="AP118" s="8"/>
      <c r="AQ118" s="529"/>
      <c r="AR118" s="529"/>
    </row>
    <row r="119" spans="1:44" s="89" customFormat="1" x14ac:dyDescent="0.35">
      <c r="A119" s="357" t="str">
        <f t="shared" si="17"/>
        <v>Eigenfaktor --&gt;</v>
      </c>
      <c r="C119" s="89" t="str">
        <f>CONCATENATE(EFs_Fuhrpark[[#This Row],[Thema]]," - ",EFs_Fuhrpark[[#This Row],[Bezeichnung]])</f>
        <v xml:space="preserve">Fuhrpark - </v>
      </c>
      <c r="D119" s="530" t="str">
        <f t="shared" si="15"/>
        <v>Fuhrpark</v>
      </c>
      <c r="E119" s="529"/>
      <c r="F119" s="529"/>
      <c r="G119" s="530"/>
      <c r="H119" s="529"/>
      <c r="I119" s="529"/>
      <c r="J119" s="529"/>
      <c r="K119" s="529"/>
      <c r="L119" s="529"/>
      <c r="M119" s="529"/>
      <c r="N119" s="529"/>
      <c r="O119" s="529"/>
      <c r="P119" s="529"/>
      <c r="Q119" s="530"/>
      <c r="R119" s="529"/>
      <c r="S119" s="529"/>
      <c r="T119" s="529"/>
      <c r="U119" s="529"/>
      <c r="V119" s="529"/>
      <c r="W119" s="529"/>
      <c r="X119" s="529"/>
      <c r="Y119" s="529"/>
      <c r="Z119" s="530"/>
      <c r="AA119" s="529"/>
      <c r="AB119" s="529"/>
      <c r="AC119" s="529"/>
      <c r="AD119" s="529"/>
      <c r="AE119" s="529"/>
      <c r="AF119" s="529"/>
      <c r="AG119" s="529"/>
      <c r="AH119" s="529"/>
      <c r="AI119" s="529"/>
      <c r="AJ119" s="529"/>
      <c r="AK119" s="529"/>
      <c r="AL119" s="529"/>
      <c r="AM119" s="529"/>
      <c r="AN119" s="529"/>
      <c r="AO119" s="529"/>
      <c r="AP119" s="529"/>
      <c r="AQ119" s="529"/>
      <c r="AR119" s="529"/>
    </row>
    <row r="120" spans="1:44" s="89" customFormat="1" x14ac:dyDescent="0.35">
      <c r="A120" s="357" t="str">
        <f t="shared" si="17"/>
        <v>Eigenfaktor --&gt;</v>
      </c>
      <c r="C120" s="89" t="str">
        <f>CONCATENATE(EFs_Fuhrpark[[#This Row],[Thema]]," - ",EFs_Fuhrpark[[#This Row],[Bezeichnung]])</f>
        <v xml:space="preserve">Fuhrpark - </v>
      </c>
      <c r="D120" s="530" t="str">
        <f t="shared" si="15"/>
        <v>Fuhrpark</v>
      </c>
      <c r="E120" s="529"/>
      <c r="F120" s="529"/>
      <c r="G120" s="530"/>
      <c r="H120" s="529"/>
      <c r="I120" s="529"/>
      <c r="J120" s="529"/>
      <c r="K120" s="529"/>
      <c r="L120" s="529"/>
      <c r="M120" s="529"/>
      <c r="N120" s="529"/>
      <c r="O120" s="529"/>
      <c r="P120" s="529"/>
      <c r="Q120" s="530"/>
      <c r="R120" s="529"/>
      <c r="S120" s="529"/>
      <c r="T120" s="529"/>
      <c r="U120" s="529"/>
      <c r="V120" s="529"/>
      <c r="W120" s="529"/>
      <c r="X120" s="529"/>
      <c r="Y120" s="529"/>
      <c r="Z120" s="530"/>
      <c r="AA120" s="529"/>
      <c r="AB120" s="529"/>
      <c r="AC120" s="529"/>
      <c r="AD120" s="529"/>
      <c r="AE120" s="529"/>
      <c r="AF120" s="529"/>
      <c r="AG120" s="529"/>
      <c r="AH120" s="529"/>
      <c r="AI120" s="529"/>
      <c r="AJ120" s="529"/>
      <c r="AK120" s="529"/>
      <c r="AL120" s="529"/>
      <c r="AM120" s="529"/>
      <c r="AN120" s="529"/>
      <c r="AO120" s="529"/>
      <c r="AP120" s="529"/>
      <c r="AQ120" s="529"/>
      <c r="AR120" s="529"/>
    </row>
    <row r="121" spans="1:44" s="89" customFormat="1" x14ac:dyDescent="0.35">
      <c r="D121" s="530"/>
      <c r="E121" s="529"/>
      <c r="F121" s="529"/>
      <c r="G121" s="529"/>
      <c r="H121" s="529"/>
      <c r="I121" s="529"/>
      <c r="J121" s="529"/>
      <c r="K121" s="529"/>
      <c r="L121" s="529"/>
      <c r="M121" s="529"/>
      <c r="N121" s="529"/>
      <c r="O121" s="529"/>
      <c r="P121" s="529"/>
      <c r="Q121" s="529"/>
      <c r="R121" s="529"/>
      <c r="S121" s="529"/>
      <c r="T121" s="529"/>
      <c r="U121" s="529"/>
      <c r="V121" s="529"/>
      <c r="W121" s="529"/>
      <c r="X121" s="529"/>
      <c r="Y121" s="529"/>
      <c r="Z121" s="529"/>
      <c r="AA121" s="529"/>
      <c r="AB121" s="529"/>
      <c r="AC121" s="529"/>
      <c r="AD121" s="529"/>
      <c r="AE121" s="529"/>
      <c r="AF121" s="529"/>
      <c r="AG121" s="529"/>
      <c r="AH121" s="529"/>
      <c r="AI121" s="529"/>
      <c r="AJ121" s="529"/>
      <c r="AK121" s="529"/>
      <c r="AL121" s="529"/>
      <c r="AM121" s="529"/>
      <c r="AN121" s="529"/>
      <c r="AO121" s="529"/>
      <c r="AP121" s="529"/>
      <c r="AQ121" s="529"/>
      <c r="AR121" s="529"/>
    </row>
    <row r="122" spans="1:44" ht="43.5" x14ac:dyDescent="0.35">
      <c r="A122" s="412" t="s">
        <v>18</v>
      </c>
      <c r="B122" s="412"/>
      <c r="C122" s="151" t="s">
        <v>46</v>
      </c>
      <c r="D122" s="151" t="s">
        <v>0</v>
      </c>
      <c r="E122" s="151" t="s">
        <v>1</v>
      </c>
      <c r="F122" s="151" t="s">
        <v>53</v>
      </c>
      <c r="G122" s="151" t="s">
        <v>485</v>
      </c>
      <c r="H122" s="151" t="s">
        <v>486</v>
      </c>
      <c r="I122" s="151" t="s">
        <v>487</v>
      </c>
      <c r="J122" s="151" t="s">
        <v>433</v>
      </c>
      <c r="K122" s="151" t="s">
        <v>483</v>
      </c>
      <c r="L122" s="151" t="s">
        <v>2</v>
      </c>
      <c r="M122" s="151" t="s">
        <v>3</v>
      </c>
      <c r="N122" s="151" t="s">
        <v>4</v>
      </c>
      <c r="O122" s="151" t="s">
        <v>21</v>
      </c>
      <c r="P122" s="151" t="s">
        <v>277</v>
      </c>
      <c r="Q122" s="151" t="s">
        <v>278</v>
      </c>
      <c r="R122" s="151" t="s">
        <v>279</v>
      </c>
      <c r="S122" s="8"/>
      <c r="AR122"/>
    </row>
    <row r="123" spans="1:44" ht="14.5" customHeight="1" x14ac:dyDescent="0.35">
      <c r="A123" s="412"/>
      <c r="B123" s="412"/>
      <c r="C123" t="str">
        <f>CONCATENATE(EFs_Geschäftsreisen[[#This Row],[Thema]]," - ",EFs_Geschäftsreisen[[#This Row],[Bezeichnung]])</f>
        <v>Geschäftsreisen - PKW (Durchschnitt)</v>
      </c>
      <c r="D123" s="109" t="str">
        <f t="shared" ref="D123:D150" si="18">"Geschäftsreisen"</f>
        <v>Geschäftsreisen</v>
      </c>
      <c r="E123" s="8" t="s">
        <v>426</v>
      </c>
      <c r="F123" s="8" t="s">
        <v>34</v>
      </c>
      <c r="G123" s="109">
        <v>0</v>
      </c>
      <c r="H123" s="109">
        <v>0</v>
      </c>
      <c r="I123" s="109">
        <v>0.16417570000000001</v>
      </c>
      <c r="J123" s="8">
        <v>0</v>
      </c>
      <c r="K123" s="8">
        <v>1.4</v>
      </c>
      <c r="L123" s="8" t="s">
        <v>125</v>
      </c>
      <c r="M123" s="8" t="s">
        <v>125</v>
      </c>
      <c r="N123" s="153" t="s">
        <v>662</v>
      </c>
      <c r="O123" s="8" t="s">
        <v>690</v>
      </c>
      <c r="P123" s="8" t="str">
        <f>"-"</f>
        <v>-</v>
      </c>
      <c r="Q123" s="8" t="str">
        <f>"-"</f>
        <v>-</v>
      </c>
      <c r="R123" s="8" t="str">
        <f>"Kat. 6"</f>
        <v>Kat. 6</v>
      </c>
      <c r="S123" s="8"/>
      <c r="AR123"/>
    </row>
    <row r="124" spans="1:44" ht="14" customHeight="1" x14ac:dyDescent="0.35">
      <c r="A124" s="299"/>
      <c r="B124" s="299"/>
      <c r="C124" s="52" t="str">
        <f>CONCATENATE(EFs_Geschäftsreisen[[#This Row],[Thema]]," - ",EFs_Geschäftsreisen[[#This Row],[Bezeichnung]])</f>
        <v>Geschäftsreisen - PKW (Verbrennungsmotor)</v>
      </c>
      <c r="D124" s="109" t="str">
        <f t="shared" si="18"/>
        <v>Geschäftsreisen</v>
      </c>
      <c r="E124" s="8" t="s">
        <v>427</v>
      </c>
      <c r="F124" s="8" t="s">
        <v>34</v>
      </c>
      <c r="G124" s="109">
        <v>0</v>
      </c>
      <c r="H124" s="109">
        <v>0</v>
      </c>
      <c r="I124" s="109">
        <v>0.16970469999999999</v>
      </c>
      <c r="J124" s="8">
        <v>0</v>
      </c>
      <c r="K124" s="8">
        <v>1.4</v>
      </c>
      <c r="L124" s="8"/>
      <c r="M124" s="8"/>
      <c r="N124" s="153" t="s">
        <v>664</v>
      </c>
      <c r="O124" s="8" t="s">
        <v>691</v>
      </c>
      <c r="P124" s="8" t="str">
        <f t="shared" ref="P124:Q140" si="19">"-"</f>
        <v>-</v>
      </c>
      <c r="Q124" s="8" t="str">
        <f t="shared" si="19"/>
        <v>-</v>
      </c>
      <c r="R124" s="8" t="str">
        <f t="shared" ref="R124:R140" si="20">"Kat. 6"</f>
        <v>Kat. 6</v>
      </c>
      <c r="S124" s="8"/>
      <c r="AR124"/>
    </row>
    <row r="125" spans="1:44" ht="14" customHeight="1" x14ac:dyDescent="0.35">
      <c r="A125" s="299"/>
      <c r="B125" s="299"/>
      <c r="C125" s="52" t="str">
        <f>CONCATENATE(EFs_Geschäftsreisen[[#This Row],[Thema]]," - ",EFs_Geschäftsreisen[[#This Row],[Bezeichnung]])</f>
        <v>Geschäftsreisen - PKW (elektrisch)</v>
      </c>
      <c r="D125" s="109" t="str">
        <f t="shared" si="18"/>
        <v>Geschäftsreisen</v>
      </c>
      <c r="E125" s="8" t="s">
        <v>428</v>
      </c>
      <c r="F125" s="8" t="s">
        <v>34</v>
      </c>
      <c r="G125" s="109">
        <v>0</v>
      </c>
      <c r="H125" s="109">
        <v>0</v>
      </c>
      <c r="I125" s="109">
        <v>6.9548399999999996E-2</v>
      </c>
      <c r="J125" s="8">
        <v>0</v>
      </c>
      <c r="K125" s="8">
        <v>1.4</v>
      </c>
      <c r="L125" s="8"/>
      <c r="M125" s="8"/>
      <c r="N125" s="153" t="s">
        <v>662</v>
      </c>
      <c r="O125" s="8" t="s">
        <v>692</v>
      </c>
      <c r="P125" s="8" t="str">
        <f t="shared" si="19"/>
        <v>-</v>
      </c>
      <c r="Q125" s="8" t="str">
        <f t="shared" si="19"/>
        <v>-</v>
      </c>
      <c r="R125" s="8" t="str">
        <f t="shared" si="20"/>
        <v>Kat. 6</v>
      </c>
      <c r="S125" s="8"/>
      <c r="AR125"/>
    </row>
    <row r="126" spans="1:44" x14ac:dyDescent="0.35">
      <c r="A126"/>
      <c r="B126"/>
      <c r="C126" t="str">
        <f>CONCATENATE(EFs_Geschäftsreisen[[#This Row],[Thema]]," - ",EFs_Geschäftsreisen[[#This Row],[Bezeichnung]])</f>
        <v>Geschäftsreisen - ÖPNV</v>
      </c>
      <c r="D126" s="109" t="str">
        <f t="shared" si="18"/>
        <v>Geschäftsreisen</v>
      </c>
      <c r="E126" s="8" t="s">
        <v>32</v>
      </c>
      <c r="F126" s="8" t="s">
        <v>34</v>
      </c>
      <c r="G126" s="109">
        <v>0</v>
      </c>
      <c r="H126" s="109">
        <v>0</v>
      </c>
      <c r="I126" s="109">
        <v>5.9676199999999999E-2</v>
      </c>
      <c r="J126" s="8">
        <v>0</v>
      </c>
      <c r="K126" s="8" t="s">
        <v>125</v>
      </c>
      <c r="L126" s="8" t="s">
        <v>125</v>
      </c>
      <c r="M126" s="8" t="s">
        <v>125</v>
      </c>
      <c r="N126" s="8" t="s">
        <v>664</v>
      </c>
      <c r="O126" s="8" t="s">
        <v>693</v>
      </c>
      <c r="P126" s="8" t="str">
        <f t="shared" si="19"/>
        <v>-</v>
      </c>
      <c r="Q126" s="8" t="str">
        <f t="shared" si="19"/>
        <v>-</v>
      </c>
      <c r="R126" s="8" t="str">
        <f t="shared" si="20"/>
        <v>Kat. 6</v>
      </c>
      <c r="S126" s="8"/>
      <c r="AR126"/>
    </row>
    <row r="127" spans="1:44" x14ac:dyDescent="0.35">
      <c r="A127"/>
      <c r="B127"/>
      <c r="C127" t="str">
        <f>CONCATENATE(EFs_Geschäftsreisen[[#This Row],[Thema]]," - ",EFs_Geschäftsreisen[[#This Row],[Bezeichnung]])</f>
        <v>Geschäftsreisen - Reisebus</v>
      </c>
      <c r="D127" s="109" t="str">
        <f t="shared" si="18"/>
        <v>Geschäftsreisen</v>
      </c>
      <c r="E127" s="8" t="s">
        <v>31</v>
      </c>
      <c r="F127" s="8" t="s">
        <v>34</v>
      </c>
      <c r="G127" s="109">
        <v>0</v>
      </c>
      <c r="H127" s="109">
        <v>0</v>
      </c>
      <c r="I127" s="109">
        <v>2.99741E-2</v>
      </c>
      <c r="J127" s="8">
        <v>0</v>
      </c>
      <c r="K127" s="8" t="s">
        <v>125</v>
      </c>
      <c r="L127" s="8" t="s">
        <v>125</v>
      </c>
      <c r="M127" s="8" t="s">
        <v>125</v>
      </c>
      <c r="N127" s="8" t="s">
        <v>694</v>
      </c>
      <c r="O127" s="8" t="s">
        <v>695</v>
      </c>
      <c r="P127" s="8" t="str">
        <f t="shared" si="19"/>
        <v>-</v>
      </c>
      <c r="Q127" s="8" t="str">
        <f t="shared" si="19"/>
        <v>-</v>
      </c>
      <c r="R127" s="8" t="str">
        <f t="shared" si="20"/>
        <v>Kat. 6</v>
      </c>
      <c r="S127" s="8"/>
      <c r="AR127"/>
    </row>
    <row r="128" spans="1:44" x14ac:dyDescent="0.35">
      <c r="A128"/>
      <c r="B128"/>
      <c r="C128" t="str">
        <f>CONCATENATE(EFs_Geschäftsreisen[[#This Row],[Thema]]," - ",EFs_Geschäftsreisen[[#This Row],[Bezeichnung]])</f>
        <v>Geschäftsreisen - Bahn Fernverkehr</v>
      </c>
      <c r="D128" s="109" t="str">
        <f t="shared" si="18"/>
        <v>Geschäftsreisen</v>
      </c>
      <c r="E128" s="8" t="s">
        <v>33</v>
      </c>
      <c r="F128" s="8" t="s">
        <v>34</v>
      </c>
      <c r="G128" s="109">
        <v>0</v>
      </c>
      <c r="H128" s="109">
        <v>0</v>
      </c>
      <c r="I128" s="109">
        <v>2.5660700000000002E-2</v>
      </c>
      <c r="J128" s="8">
        <v>0</v>
      </c>
      <c r="K128" s="8" t="s">
        <v>125</v>
      </c>
      <c r="L128" s="8" t="s">
        <v>125</v>
      </c>
      <c r="M128" s="8" t="s">
        <v>125</v>
      </c>
      <c r="N128" s="8" t="s">
        <v>694</v>
      </c>
      <c r="O128" s="8" t="s">
        <v>696</v>
      </c>
      <c r="P128" s="8" t="str">
        <f t="shared" si="19"/>
        <v>-</v>
      </c>
      <c r="Q128" s="8" t="str">
        <f t="shared" si="19"/>
        <v>-</v>
      </c>
      <c r="R128" s="8" t="str">
        <f t="shared" si="20"/>
        <v>Kat. 6</v>
      </c>
      <c r="S128" s="8"/>
      <c r="AR128"/>
    </row>
    <row r="129" spans="1:44" x14ac:dyDescent="0.35">
      <c r="A129"/>
      <c r="B129"/>
      <c r="C129" t="str">
        <f>CONCATENATE(EFs_Geschäftsreisen[[#This Row],[Thema]]," - ",EFs_Geschäftsreisen[[#This Row],[Bezeichnung]])</f>
        <v>Geschäftsreisen - Flug (Inland) - Durchschnitt</v>
      </c>
      <c r="D129" s="109" t="str">
        <f t="shared" si="18"/>
        <v>Geschäftsreisen</v>
      </c>
      <c r="E129" s="8" t="s">
        <v>474</v>
      </c>
      <c r="F129" s="8" t="s">
        <v>34</v>
      </c>
      <c r="G129" s="109">
        <v>0</v>
      </c>
      <c r="H129" s="109">
        <v>0</v>
      </c>
      <c r="I129" s="109">
        <v>0.16902</v>
      </c>
      <c r="J129" s="8">
        <v>9.3759999999999996E-2</v>
      </c>
      <c r="K129" s="8" t="s">
        <v>125</v>
      </c>
      <c r="L129" s="8" t="s">
        <v>125</v>
      </c>
      <c r="M129" s="8" t="s">
        <v>125</v>
      </c>
      <c r="N129" s="8" t="s">
        <v>697</v>
      </c>
      <c r="O129" s="8" t="s">
        <v>811</v>
      </c>
      <c r="P129" s="8" t="str">
        <f t="shared" si="19"/>
        <v>-</v>
      </c>
      <c r="Q129" s="8" t="str">
        <f t="shared" si="19"/>
        <v>-</v>
      </c>
      <c r="R129" s="8" t="str">
        <f t="shared" si="20"/>
        <v>Kat. 6</v>
      </c>
      <c r="S129" s="8"/>
      <c r="AR129"/>
    </row>
    <row r="130" spans="1:44" x14ac:dyDescent="0.35">
      <c r="A130"/>
      <c r="B130"/>
      <c r="C130" t="str">
        <f>CONCATENATE(EFs_Geschäftsreisen[[#This Row],[Thema]]," - ",EFs_Geschäftsreisen[[#This Row],[Bezeichnung]])</f>
        <v>Geschäftsreisen - Flug (innereuropäisch) - Durchschnitt</v>
      </c>
      <c r="D130" s="109" t="str">
        <f t="shared" si="18"/>
        <v>Geschäftsreisen</v>
      </c>
      <c r="E130" s="8" t="s">
        <v>477</v>
      </c>
      <c r="F130" s="8" t="s">
        <v>34</v>
      </c>
      <c r="G130" s="109">
        <v>0</v>
      </c>
      <c r="H130" s="109">
        <v>0</v>
      </c>
      <c r="I130" s="109">
        <v>9.8449999999999996E-2</v>
      </c>
      <c r="J130" s="8">
        <v>5.2269999999999997E-2</v>
      </c>
      <c r="K130" s="8" t="s">
        <v>125</v>
      </c>
      <c r="L130" s="8" t="s">
        <v>125</v>
      </c>
      <c r="M130" s="8" t="s">
        <v>125</v>
      </c>
      <c r="N130" s="8" t="s">
        <v>697</v>
      </c>
      <c r="O130" s="8" t="s">
        <v>812</v>
      </c>
      <c r="P130" s="8" t="str">
        <f t="shared" si="19"/>
        <v>-</v>
      </c>
      <c r="Q130" s="8" t="str">
        <f t="shared" si="19"/>
        <v>-</v>
      </c>
      <c r="R130" s="8" t="str">
        <f t="shared" si="20"/>
        <v>Kat. 6</v>
      </c>
      <c r="S130" s="8"/>
      <c r="AR130"/>
    </row>
    <row r="131" spans="1:44" ht="18.5" x14ac:dyDescent="0.35">
      <c r="A131" s="299"/>
      <c r="B131" s="299"/>
      <c r="C131" s="52" t="str">
        <f>CONCATENATE(EFs_Geschäftsreisen[[#This Row],[Thema]]," - ",EFs_Geschäftsreisen[[#This Row],[Bezeichnung]])</f>
        <v>Geschäftsreisen - Flug (innereuropäisch) - Economy</v>
      </c>
      <c r="D131" s="109" t="str">
        <f t="shared" si="18"/>
        <v>Geschäftsreisen</v>
      </c>
      <c r="E131" s="8" t="s">
        <v>479</v>
      </c>
      <c r="F131" s="8" t="s">
        <v>34</v>
      </c>
      <c r="G131" s="109">
        <v>0</v>
      </c>
      <c r="H131" s="109">
        <v>0</v>
      </c>
      <c r="I131" s="109">
        <v>9.6839999999999996E-2</v>
      </c>
      <c r="J131" s="8">
        <v>5.1409999999999997E-2</v>
      </c>
      <c r="K131" s="8" t="s">
        <v>125</v>
      </c>
      <c r="L131" s="8" t="s">
        <v>125</v>
      </c>
      <c r="M131" s="8" t="s">
        <v>125</v>
      </c>
      <c r="N131" s="8" t="s">
        <v>697</v>
      </c>
      <c r="O131" s="8" t="s">
        <v>813</v>
      </c>
      <c r="P131" s="8" t="str">
        <f t="shared" si="19"/>
        <v>-</v>
      </c>
      <c r="Q131" s="8" t="str">
        <f t="shared" si="19"/>
        <v>-</v>
      </c>
      <c r="R131" s="8" t="str">
        <f t="shared" si="20"/>
        <v>Kat. 6</v>
      </c>
      <c r="S131" s="8"/>
      <c r="AR131"/>
    </row>
    <row r="132" spans="1:44" ht="18.5" x14ac:dyDescent="0.35">
      <c r="A132" s="299"/>
      <c r="B132" s="299"/>
      <c r="C132" s="52" t="str">
        <f>CONCATENATE(EFs_Geschäftsreisen[[#This Row],[Thema]]," - ",EFs_Geschäftsreisen[[#This Row],[Bezeichnung]])</f>
        <v>Geschäftsreisen - Flug (innereuropäisch) - Business</v>
      </c>
      <c r="D132" s="109" t="str">
        <f t="shared" si="18"/>
        <v>Geschäftsreisen</v>
      </c>
      <c r="E132" s="8" t="s">
        <v>480</v>
      </c>
      <c r="F132" s="8" t="s">
        <v>34</v>
      </c>
      <c r="G132" s="109">
        <v>0</v>
      </c>
      <c r="H132" s="109">
        <v>0</v>
      </c>
      <c r="I132" s="109">
        <v>0.14524999999999999</v>
      </c>
      <c r="J132" s="8">
        <v>7.7109999999999998E-2</v>
      </c>
      <c r="K132" s="8" t="s">
        <v>125</v>
      </c>
      <c r="L132" s="8" t="s">
        <v>125</v>
      </c>
      <c r="M132" s="8" t="s">
        <v>125</v>
      </c>
      <c r="N132" s="8" t="s">
        <v>697</v>
      </c>
      <c r="O132" s="8" t="s">
        <v>814</v>
      </c>
      <c r="P132" s="8" t="str">
        <f t="shared" si="19"/>
        <v>-</v>
      </c>
      <c r="Q132" s="8" t="str">
        <f t="shared" si="19"/>
        <v>-</v>
      </c>
      <c r="R132" s="8" t="str">
        <f t="shared" si="20"/>
        <v>Kat. 6</v>
      </c>
      <c r="S132" s="8"/>
      <c r="AR132"/>
    </row>
    <row r="133" spans="1:44" x14ac:dyDescent="0.35">
      <c r="A133"/>
      <c r="B133"/>
      <c r="C133" t="str">
        <f>CONCATENATE(EFs_Geschäftsreisen[[#This Row],[Thema]]," - ",EFs_Geschäftsreisen[[#This Row],[Bezeichnung]])</f>
        <v>Geschäftsreisen - Flug (international) - Durchschnitt</v>
      </c>
      <c r="D133" s="109" t="str">
        <f t="shared" si="18"/>
        <v>Geschäftsreisen</v>
      </c>
      <c r="E133" s="8" t="s">
        <v>478</v>
      </c>
      <c r="F133" s="8" t="s">
        <v>34</v>
      </c>
      <c r="G133" s="109">
        <v>0</v>
      </c>
      <c r="H133" s="109">
        <v>0</v>
      </c>
      <c r="I133" s="109">
        <v>0.12256</v>
      </c>
      <c r="J133" s="8">
        <v>6.2390000000000001E-2</v>
      </c>
      <c r="K133" s="8" t="s">
        <v>125</v>
      </c>
      <c r="L133" s="8" t="s">
        <v>125</v>
      </c>
      <c r="M133" s="8" t="s">
        <v>125</v>
      </c>
      <c r="N133" s="8" t="s">
        <v>697</v>
      </c>
      <c r="O133" s="8" t="s">
        <v>815</v>
      </c>
      <c r="P133" s="8" t="str">
        <f t="shared" si="19"/>
        <v>-</v>
      </c>
      <c r="Q133" s="8" t="str">
        <f t="shared" si="19"/>
        <v>-</v>
      </c>
      <c r="R133" s="8" t="str">
        <f t="shared" si="20"/>
        <v>Kat. 6</v>
      </c>
      <c r="S133" s="8"/>
      <c r="AR133"/>
    </row>
    <row r="134" spans="1:44" ht="18.5" x14ac:dyDescent="0.35">
      <c r="A134" s="299"/>
      <c r="B134" s="299"/>
      <c r="C134" s="52" t="str">
        <f>CONCATENATE(EFs_Geschäftsreisen[[#This Row],[Thema]]," - ",EFs_Geschäftsreisen[[#This Row],[Bezeichnung]])</f>
        <v>Geschäftsreisen - Flug (international) - Economy</v>
      </c>
      <c r="D134" s="109" t="str">
        <f t="shared" si="18"/>
        <v>Geschäftsreisen</v>
      </c>
      <c r="E134" s="8" t="s">
        <v>481</v>
      </c>
      <c r="F134" s="8" t="s">
        <v>34</v>
      </c>
      <c r="G134" s="109">
        <v>0</v>
      </c>
      <c r="H134" s="109">
        <v>0</v>
      </c>
      <c r="I134" s="109">
        <v>9.3869999999999995E-2</v>
      </c>
      <c r="J134" s="8">
        <v>4.7780000000000003E-2</v>
      </c>
      <c r="K134" s="8" t="s">
        <v>125</v>
      </c>
      <c r="L134" s="8" t="s">
        <v>125</v>
      </c>
      <c r="M134" s="8" t="s">
        <v>125</v>
      </c>
      <c r="N134" s="8" t="s">
        <v>697</v>
      </c>
      <c r="O134" s="8" t="s">
        <v>816</v>
      </c>
      <c r="P134" s="8" t="str">
        <f t="shared" si="19"/>
        <v>-</v>
      </c>
      <c r="Q134" s="8" t="str">
        <f t="shared" si="19"/>
        <v>-</v>
      </c>
      <c r="R134" s="8" t="str">
        <f t="shared" si="20"/>
        <v>Kat. 6</v>
      </c>
      <c r="S134" s="8"/>
      <c r="AR134"/>
    </row>
    <row r="135" spans="1:44" ht="18.5" x14ac:dyDescent="0.35">
      <c r="A135" s="299"/>
      <c r="B135" s="299"/>
      <c r="C135" s="52" t="str">
        <f>CONCATENATE(EFs_Geschäftsreisen[[#This Row],[Thema]]," - ",EFs_Geschäftsreisen[[#This Row],[Bezeichnung]])</f>
        <v>Geschäftsreisen - Flug (international) - Business</v>
      </c>
      <c r="D135" s="109" t="str">
        <f t="shared" si="18"/>
        <v>Geschäftsreisen</v>
      </c>
      <c r="E135" s="8" t="s">
        <v>482</v>
      </c>
      <c r="F135" s="8" t="s">
        <v>34</v>
      </c>
      <c r="G135" s="109">
        <v>0</v>
      </c>
      <c r="H135" s="109">
        <v>0</v>
      </c>
      <c r="I135" s="109">
        <v>0.2722</v>
      </c>
      <c r="J135" s="8">
        <v>0.13857</v>
      </c>
      <c r="K135" s="8" t="s">
        <v>125</v>
      </c>
      <c r="L135" s="8" t="s">
        <v>125</v>
      </c>
      <c r="M135" s="8" t="s">
        <v>125</v>
      </c>
      <c r="N135" s="8" t="s">
        <v>697</v>
      </c>
      <c r="O135" s="8" t="s">
        <v>817</v>
      </c>
      <c r="P135" s="8" t="str">
        <f t="shared" si="19"/>
        <v>-</v>
      </c>
      <c r="Q135" s="8" t="str">
        <f t="shared" si="19"/>
        <v>-</v>
      </c>
      <c r="R135" s="8" t="str">
        <f t="shared" si="20"/>
        <v>Kat. 6</v>
      </c>
      <c r="S135" s="8"/>
      <c r="AR135"/>
    </row>
    <row r="136" spans="1:44" x14ac:dyDescent="0.35">
      <c r="A136"/>
      <c r="B136"/>
      <c r="C136" t="str">
        <f>CONCATENATE(EFs_Geschäftsreisen[[#This Row],[Thema]]," - ",EFs_Geschäftsreisen[[#This Row],[Bezeichnung]])</f>
        <v>Geschäftsreisen - Hotel (Durchschnitt, Deutschland)</v>
      </c>
      <c r="D136" s="109" t="str">
        <f t="shared" si="18"/>
        <v>Geschäftsreisen</v>
      </c>
      <c r="E136" s="8" t="s">
        <v>109</v>
      </c>
      <c r="F136" s="8" t="s">
        <v>180</v>
      </c>
      <c r="G136" s="109">
        <v>0</v>
      </c>
      <c r="H136" s="109">
        <v>0</v>
      </c>
      <c r="I136" s="109">
        <v>6.5810000000000004</v>
      </c>
      <c r="J136" s="8">
        <v>0</v>
      </c>
      <c r="K136" s="8" t="s">
        <v>125</v>
      </c>
      <c r="L136" s="8" t="s">
        <v>125</v>
      </c>
      <c r="M136" s="8" t="s">
        <v>125</v>
      </c>
      <c r="N136" s="8" t="s">
        <v>698</v>
      </c>
      <c r="O136" s="8" t="s">
        <v>125</v>
      </c>
      <c r="P136" s="8" t="str">
        <f t="shared" si="19"/>
        <v>-</v>
      </c>
      <c r="Q136" s="8" t="str">
        <f t="shared" si="19"/>
        <v>-</v>
      </c>
      <c r="R136" s="8" t="str">
        <f t="shared" si="20"/>
        <v>Kat. 6</v>
      </c>
      <c r="S136" s="8"/>
      <c r="AR136"/>
    </row>
    <row r="137" spans="1:44" x14ac:dyDescent="0.35">
      <c r="A137"/>
      <c r="B137"/>
      <c r="C137" t="str">
        <f>CONCATENATE(EFs_Geschäftsreisen[[#This Row],[Thema]]," - ",EFs_Geschäftsreisen[[#This Row],[Bezeichnung]])</f>
        <v>Geschäftsreisen - Hotel (Durchschnitt, International)</v>
      </c>
      <c r="D137" s="109" t="str">
        <f t="shared" si="18"/>
        <v>Geschäftsreisen</v>
      </c>
      <c r="E137" s="8" t="s">
        <v>110</v>
      </c>
      <c r="F137" s="8" t="s">
        <v>180</v>
      </c>
      <c r="G137" s="109">
        <v>0</v>
      </c>
      <c r="H137" s="109">
        <v>0</v>
      </c>
      <c r="I137" s="109">
        <v>19.023499999999999</v>
      </c>
      <c r="J137" s="8">
        <v>0</v>
      </c>
      <c r="K137" s="8" t="s">
        <v>125</v>
      </c>
      <c r="L137" s="8" t="s">
        <v>125</v>
      </c>
      <c r="M137" s="8" t="s">
        <v>125</v>
      </c>
      <c r="N137" s="8" t="s">
        <v>698</v>
      </c>
      <c r="O137" s="8" t="s">
        <v>125</v>
      </c>
      <c r="P137" s="8" t="str">
        <f t="shared" si="19"/>
        <v>-</v>
      </c>
      <c r="Q137" s="8" t="str">
        <f t="shared" si="19"/>
        <v>-</v>
      </c>
      <c r="R137" s="8" t="str">
        <f t="shared" si="20"/>
        <v>Kat. 6</v>
      </c>
      <c r="S137" s="8"/>
      <c r="AR137"/>
    </row>
    <row r="138" spans="1:44" s="10" customFormat="1" ht="29" x14ac:dyDescent="0.35">
      <c r="A138" s="461"/>
      <c r="B138" s="461"/>
      <c r="C138" s="10" t="str">
        <f>CONCATENATE(EFs_Geschäftsreisen[[#This Row],[Thema]]," - ",EFs_Geschäftsreisen[[#This Row],[Bezeichnung]])</f>
        <v>Geschäftsreisen - Übernachtung in Privatwohnung (Durchschnitt, Deutschland)</v>
      </c>
      <c r="D138" s="445" t="str">
        <f t="shared" si="18"/>
        <v>Geschäftsreisen</v>
      </c>
      <c r="E138" s="528" t="s">
        <v>429</v>
      </c>
      <c r="F138" s="153" t="s">
        <v>180</v>
      </c>
      <c r="G138" s="445">
        <v>0</v>
      </c>
      <c r="H138" s="445">
        <v>0</v>
      </c>
      <c r="I138" s="445">
        <v>4.1500000000000004</v>
      </c>
      <c r="J138" s="153">
        <v>0</v>
      </c>
      <c r="K138" s="445" t="s">
        <v>125</v>
      </c>
      <c r="L138" s="153" t="s">
        <v>125</v>
      </c>
      <c r="M138" s="153" t="s">
        <v>125</v>
      </c>
      <c r="N138" s="153" t="s">
        <v>699</v>
      </c>
      <c r="O138" s="153" t="s">
        <v>700</v>
      </c>
      <c r="P138" s="8" t="str">
        <f t="shared" si="19"/>
        <v>-</v>
      </c>
      <c r="Q138" s="8" t="str">
        <f t="shared" si="19"/>
        <v>-</v>
      </c>
      <c r="R138" s="8" t="str">
        <f t="shared" si="20"/>
        <v>Kat. 6</v>
      </c>
      <c r="S138" s="528"/>
      <c r="T138" s="528"/>
      <c r="U138" s="528"/>
      <c r="V138" s="528"/>
      <c r="W138" s="528"/>
      <c r="X138" s="528"/>
      <c r="Y138" s="528"/>
      <c r="Z138" s="528"/>
      <c r="AA138" s="528"/>
      <c r="AB138" s="528"/>
      <c r="AC138" s="528"/>
      <c r="AD138" s="528"/>
      <c r="AE138" s="528"/>
      <c r="AF138" s="528"/>
      <c r="AG138" s="528"/>
      <c r="AH138" s="528"/>
      <c r="AI138" s="528"/>
      <c r="AJ138" s="528"/>
      <c r="AK138" s="528"/>
      <c r="AL138" s="528"/>
      <c r="AM138" s="528"/>
      <c r="AN138" s="528"/>
      <c r="AO138" s="528"/>
      <c r="AP138" s="528"/>
      <c r="AQ138" s="528"/>
    </row>
    <row r="139" spans="1:44" x14ac:dyDescent="0.35">
      <c r="A139"/>
      <c r="B139"/>
      <c r="C139" t="str">
        <f>CONCATENATE(EFs_Geschäftsreisen[[#This Row],[Thema]]," - ",EFs_Geschäftsreisen[[#This Row],[Bezeichnung]])</f>
        <v>Geschäftsreisen - Extern ermittelte Emissionen</v>
      </c>
      <c r="D139" s="109" t="str">
        <f t="shared" si="18"/>
        <v>Geschäftsreisen</v>
      </c>
      <c r="E139" s="8" t="s">
        <v>130</v>
      </c>
      <c r="F139" s="8" t="s">
        <v>63</v>
      </c>
      <c r="G139" s="109">
        <v>0</v>
      </c>
      <c r="H139" s="109">
        <v>0</v>
      </c>
      <c r="I139" s="109">
        <v>1</v>
      </c>
      <c r="J139" s="8">
        <v>0</v>
      </c>
      <c r="K139" s="8" t="s">
        <v>125</v>
      </c>
      <c r="L139" s="8" t="s">
        <v>125</v>
      </c>
      <c r="M139" s="8" t="s">
        <v>125</v>
      </c>
      <c r="N139" s="8" t="s">
        <v>125</v>
      </c>
      <c r="O139" s="8" t="s">
        <v>125</v>
      </c>
      <c r="P139" s="8" t="str">
        <f t="shared" si="19"/>
        <v>-</v>
      </c>
      <c r="Q139" s="8" t="str">
        <f t="shared" si="19"/>
        <v>-</v>
      </c>
      <c r="R139" s="8" t="str">
        <f t="shared" si="20"/>
        <v>Kat. 6</v>
      </c>
      <c r="S139" s="8"/>
      <c r="AR139"/>
    </row>
    <row r="140" spans="1:44" ht="16.5" x14ac:dyDescent="0.45">
      <c r="A140"/>
      <c r="B140"/>
      <c r="C140" t="str">
        <f>CONCATENATE(EFs_Geschäftsreisen[[#This Row],[Thema]]," - ",EFs_Geschäftsreisen[[#This Row],[Bezeichnung]])</f>
        <v>Geschäftsreisen - Extern ermittelte Nicht-CO2-Effekte</v>
      </c>
      <c r="D140" s="109" t="str">
        <f>"Geschäftsreisen"</f>
        <v>Geschäftsreisen</v>
      </c>
      <c r="E140" s="8" t="s">
        <v>627</v>
      </c>
      <c r="F140" s="8" t="s">
        <v>63</v>
      </c>
      <c r="G140" s="109">
        <v>0</v>
      </c>
      <c r="H140" s="109">
        <v>0</v>
      </c>
      <c r="I140" s="109">
        <v>0</v>
      </c>
      <c r="J140" s="8">
        <v>1</v>
      </c>
      <c r="K140" s="8" t="s">
        <v>125</v>
      </c>
      <c r="L140" s="8" t="s">
        <v>125</v>
      </c>
      <c r="M140" s="8" t="s">
        <v>125</v>
      </c>
      <c r="N140" s="8" t="s">
        <v>125</v>
      </c>
      <c r="O140" s="8" t="s">
        <v>125</v>
      </c>
      <c r="P140" s="8" t="str">
        <f t="shared" si="19"/>
        <v>-</v>
      </c>
      <c r="Q140" s="8" t="str">
        <f t="shared" si="19"/>
        <v>-</v>
      </c>
      <c r="R140" s="8" t="str">
        <f t="shared" si="20"/>
        <v>Kat. 6</v>
      </c>
      <c r="S140" s="8"/>
      <c r="AR140"/>
    </row>
    <row r="141" spans="1:44" s="89" customFormat="1" x14ac:dyDescent="0.35">
      <c r="A141" s="265" t="str">
        <f>"Eigenfaktor --&gt;"</f>
        <v>Eigenfaktor --&gt;</v>
      </c>
      <c r="B141"/>
      <c r="C141" s="89" t="str">
        <f>CONCATENATE(EFs_Geschäftsreisen[[#This Row],[Thema]]," - ",EFs_Geschäftsreisen[[#This Row],[Bezeichnung]])</f>
        <v xml:space="preserve">Geschäftsreisen - </v>
      </c>
      <c r="D141" s="109" t="str">
        <f t="shared" si="18"/>
        <v>Geschäftsreisen</v>
      </c>
      <c r="E141" s="529"/>
      <c r="F141" s="529"/>
      <c r="G141" s="530"/>
      <c r="H141" s="530"/>
      <c r="I141" s="530"/>
      <c r="J141" s="529"/>
      <c r="K141" s="529"/>
      <c r="L141" s="529"/>
      <c r="M141" s="529"/>
      <c r="N141" s="529"/>
      <c r="O141" s="529"/>
      <c r="P141" s="8" t="str">
        <f t="shared" ref="P141:P150" si="21">"-"</f>
        <v>-</v>
      </c>
      <c r="Q141" s="8" t="str">
        <f t="shared" ref="Q141:Q150" si="22">"-"</f>
        <v>-</v>
      </c>
      <c r="R141" s="8" t="str">
        <f t="shared" ref="R141:R150" si="23">"Kat. 6"</f>
        <v>Kat. 6</v>
      </c>
      <c r="S141" s="8"/>
      <c r="T141" s="8"/>
      <c r="U141" s="8"/>
      <c r="V141" s="8"/>
      <c r="W141" s="8"/>
      <c r="X141" s="8"/>
      <c r="Y141" s="8"/>
      <c r="Z141" s="8"/>
      <c r="AA141" s="529"/>
      <c r="AB141" s="529"/>
      <c r="AC141" s="529"/>
      <c r="AD141" s="529"/>
      <c r="AE141" s="529"/>
      <c r="AF141" s="529"/>
      <c r="AG141" s="529"/>
      <c r="AH141" s="529"/>
      <c r="AI141" s="529"/>
      <c r="AJ141" s="529"/>
      <c r="AK141" s="529"/>
      <c r="AL141" s="529"/>
      <c r="AM141" s="529"/>
      <c r="AN141" s="529"/>
      <c r="AO141" s="529"/>
      <c r="AP141" s="529"/>
      <c r="AQ141" s="529"/>
    </row>
    <row r="142" spans="1:44" s="89" customFormat="1" x14ac:dyDescent="0.35">
      <c r="A142" s="265" t="str">
        <f t="shared" ref="A142:A150" si="24">"Eigenfaktor --&gt;"</f>
        <v>Eigenfaktor --&gt;</v>
      </c>
      <c r="B142"/>
      <c r="C142" s="89" t="str">
        <f>CONCATENATE(EFs_Geschäftsreisen[[#This Row],[Thema]]," - ",EFs_Geschäftsreisen[[#This Row],[Bezeichnung]])</f>
        <v xml:space="preserve">Geschäftsreisen - </v>
      </c>
      <c r="D142" s="109" t="str">
        <f t="shared" si="18"/>
        <v>Geschäftsreisen</v>
      </c>
      <c r="E142" s="529"/>
      <c r="F142" s="529"/>
      <c r="G142" s="530"/>
      <c r="H142" s="530"/>
      <c r="I142" s="530"/>
      <c r="J142" s="529"/>
      <c r="K142" s="529"/>
      <c r="L142" s="529"/>
      <c r="M142" s="529"/>
      <c r="N142" s="529"/>
      <c r="O142" s="529"/>
      <c r="P142" s="8" t="str">
        <f t="shared" si="21"/>
        <v>-</v>
      </c>
      <c r="Q142" s="8" t="str">
        <f t="shared" si="22"/>
        <v>-</v>
      </c>
      <c r="R142" s="8" t="str">
        <f t="shared" si="23"/>
        <v>Kat. 6</v>
      </c>
      <c r="S142" s="8"/>
      <c r="T142" s="8"/>
      <c r="U142" s="8"/>
      <c r="V142" s="8"/>
      <c r="W142" s="8"/>
      <c r="X142" s="8"/>
      <c r="Y142" s="8"/>
      <c r="Z142" s="8"/>
      <c r="AA142" s="529"/>
      <c r="AB142" s="529"/>
      <c r="AC142" s="529"/>
      <c r="AD142" s="529"/>
      <c r="AE142" s="529"/>
      <c r="AF142" s="529"/>
      <c r="AG142" s="529"/>
      <c r="AH142" s="529"/>
      <c r="AI142" s="529"/>
      <c r="AJ142" s="529"/>
      <c r="AK142" s="529"/>
      <c r="AL142" s="529"/>
      <c r="AM142" s="529"/>
      <c r="AN142" s="529"/>
      <c r="AO142" s="529"/>
      <c r="AP142" s="529"/>
      <c r="AQ142" s="529"/>
    </row>
    <row r="143" spans="1:44" s="89" customFormat="1" x14ac:dyDescent="0.35">
      <c r="A143" s="265" t="str">
        <f t="shared" si="24"/>
        <v>Eigenfaktor --&gt;</v>
      </c>
      <c r="B143"/>
      <c r="C143" s="89" t="str">
        <f>CONCATENATE(EFs_Geschäftsreisen[[#This Row],[Thema]]," - ",EFs_Geschäftsreisen[[#This Row],[Bezeichnung]])</f>
        <v xml:space="preserve">Geschäftsreisen - </v>
      </c>
      <c r="D143" s="109" t="str">
        <f t="shared" si="18"/>
        <v>Geschäftsreisen</v>
      </c>
      <c r="E143" s="529"/>
      <c r="F143" s="529"/>
      <c r="G143" s="530"/>
      <c r="H143" s="530"/>
      <c r="I143" s="530"/>
      <c r="J143" s="529"/>
      <c r="K143" s="529"/>
      <c r="L143" s="529"/>
      <c r="M143" s="529"/>
      <c r="N143" s="529"/>
      <c r="O143" s="529"/>
      <c r="P143" s="8" t="str">
        <f t="shared" ref="P143:Q147" si="25">"-"</f>
        <v>-</v>
      </c>
      <c r="Q143" s="8" t="str">
        <f t="shared" si="25"/>
        <v>-</v>
      </c>
      <c r="R143" s="8" t="str">
        <f>"Kat. 6"</f>
        <v>Kat. 6</v>
      </c>
      <c r="S143" s="8"/>
      <c r="T143" s="8"/>
      <c r="U143" s="8"/>
      <c r="V143" s="8"/>
      <c r="W143" s="8"/>
      <c r="X143" s="8"/>
      <c r="Y143" s="8"/>
      <c r="Z143" s="8"/>
      <c r="AA143" s="529"/>
      <c r="AB143" s="529"/>
      <c r="AC143" s="529"/>
      <c r="AD143" s="529"/>
      <c r="AE143" s="529"/>
      <c r="AF143" s="529"/>
      <c r="AG143" s="529"/>
      <c r="AH143" s="529"/>
      <c r="AI143" s="529"/>
      <c r="AJ143" s="529"/>
      <c r="AK143" s="529"/>
      <c r="AL143" s="529"/>
      <c r="AM143" s="529"/>
      <c r="AN143" s="529"/>
      <c r="AO143" s="529"/>
      <c r="AP143" s="529"/>
      <c r="AQ143" s="529"/>
    </row>
    <row r="144" spans="1:44" s="89" customFormat="1" x14ac:dyDescent="0.35">
      <c r="A144" s="265" t="str">
        <f t="shared" si="24"/>
        <v>Eigenfaktor --&gt;</v>
      </c>
      <c r="B144"/>
      <c r="C144" s="89" t="str">
        <f>CONCATENATE(EFs_Geschäftsreisen[[#This Row],[Thema]]," - ",EFs_Geschäftsreisen[[#This Row],[Bezeichnung]])</f>
        <v xml:space="preserve">Geschäftsreisen - </v>
      </c>
      <c r="D144" s="109" t="str">
        <f t="shared" si="18"/>
        <v>Geschäftsreisen</v>
      </c>
      <c r="E144" s="529"/>
      <c r="F144" s="529"/>
      <c r="G144" s="530"/>
      <c r="H144" s="530"/>
      <c r="I144" s="530"/>
      <c r="J144" s="529"/>
      <c r="K144" s="529"/>
      <c r="L144" s="529"/>
      <c r="M144" s="529"/>
      <c r="N144" s="529"/>
      <c r="O144" s="529"/>
      <c r="P144" s="8" t="str">
        <f t="shared" si="25"/>
        <v>-</v>
      </c>
      <c r="Q144" s="8" t="str">
        <f t="shared" si="25"/>
        <v>-</v>
      </c>
      <c r="R144" s="8" t="str">
        <f>"Kat. 6"</f>
        <v>Kat. 6</v>
      </c>
      <c r="S144" s="8"/>
      <c r="T144" s="8"/>
      <c r="U144" s="8"/>
      <c r="V144" s="8"/>
      <c r="W144" s="8"/>
      <c r="X144" s="8"/>
      <c r="Y144" s="8"/>
      <c r="Z144" s="8"/>
      <c r="AA144" s="529"/>
      <c r="AB144" s="529"/>
      <c r="AC144" s="529"/>
      <c r="AD144" s="529"/>
      <c r="AE144" s="529"/>
      <c r="AF144" s="529"/>
      <c r="AG144" s="529"/>
      <c r="AH144" s="529"/>
      <c r="AI144" s="529"/>
      <c r="AJ144" s="529"/>
      <c r="AK144" s="529"/>
      <c r="AL144" s="529"/>
      <c r="AM144" s="529"/>
      <c r="AN144" s="529"/>
      <c r="AO144" s="529"/>
      <c r="AP144" s="529"/>
      <c r="AQ144" s="529"/>
    </row>
    <row r="145" spans="1:44" s="89" customFormat="1" x14ac:dyDescent="0.35">
      <c r="A145" s="265" t="str">
        <f t="shared" si="24"/>
        <v>Eigenfaktor --&gt;</v>
      </c>
      <c r="B145"/>
      <c r="C145" s="89" t="str">
        <f>CONCATENATE(EFs_Geschäftsreisen[[#This Row],[Thema]]," - ",EFs_Geschäftsreisen[[#This Row],[Bezeichnung]])</f>
        <v xml:space="preserve">Geschäftsreisen - </v>
      </c>
      <c r="D145" s="109" t="str">
        <f t="shared" si="18"/>
        <v>Geschäftsreisen</v>
      </c>
      <c r="E145" s="529"/>
      <c r="F145" s="529"/>
      <c r="G145" s="530"/>
      <c r="H145" s="530"/>
      <c r="I145" s="530"/>
      <c r="J145" s="529"/>
      <c r="K145" s="529"/>
      <c r="L145" s="529"/>
      <c r="M145" s="529"/>
      <c r="N145" s="529"/>
      <c r="O145" s="529"/>
      <c r="P145" s="8" t="str">
        <f t="shared" si="25"/>
        <v>-</v>
      </c>
      <c r="Q145" s="8" t="str">
        <f t="shared" si="25"/>
        <v>-</v>
      </c>
      <c r="R145" s="8" t="str">
        <f>"Kat. 6"</f>
        <v>Kat. 6</v>
      </c>
      <c r="S145" s="8"/>
      <c r="T145" s="8"/>
      <c r="U145" s="8"/>
      <c r="V145" s="8"/>
      <c r="W145" s="8"/>
      <c r="X145" s="8"/>
      <c r="Y145" s="8"/>
      <c r="Z145" s="8"/>
      <c r="AA145" s="529"/>
      <c r="AB145" s="529"/>
      <c r="AC145" s="529"/>
      <c r="AD145" s="529"/>
      <c r="AE145" s="529"/>
      <c r="AF145" s="529"/>
      <c r="AG145" s="529"/>
      <c r="AH145" s="529"/>
      <c r="AI145" s="529"/>
      <c r="AJ145" s="529"/>
      <c r="AK145" s="529"/>
      <c r="AL145" s="529"/>
      <c r="AM145" s="529"/>
      <c r="AN145" s="529"/>
      <c r="AO145" s="529"/>
      <c r="AP145" s="529"/>
      <c r="AQ145" s="529"/>
    </row>
    <row r="146" spans="1:44" s="89" customFormat="1" x14ac:dyDescent="0.35">
      <c r="A146" s="265" t="str">
        <f t="shared" si="24"/>
        <v>Eigenfaktor --&gt;</v>
      </c>
      <c r="B146"/>
      <c r="C146" s="89" t="str">
        <f>CONCATENATE(EFs_Geschäftsreisen[[#This Row],[Thema]]," - ",EFs_Geschäftsreisen[[#This Row],[Bezeichnung]])</f>
        <v xml:space="preserve">Geschäftsreisen - </v>
      </c>
      <c r="D146" s="109" t="str">
        <f t="shared" si="18"/>
        <v>Geschäftsreisen</v>
      </c>
      <c r="E146" s="529"/>
      <c r="F146" s="529"/>
      <c r="G146" s="530"/>
      <c r="H146" s="530"/>
      <c r="I146" s="530"/>
      <c r="J146" s="529"/>
      <c r="K146" s="529"/>
      <c r="L146" s="529"/>
      <c r="M146" s="529"/>
      <c r="N146" s="529"/>
      <c r="O146" s="529"/>
      <c r="P146" s="8" t="str">
        <f t="shared" si="25"/>
        <v>-</v>
      </c>
      <c r="Q146" s="8" t="str">
        <f t="shared" si="25"/>
        <v>-</v>
      </c>
      <c r="R146" s="8" t="str">
        <f>"Kat. 6"</f>
        <v>Kat. 6</v>
      </c>
      <c r="S146" s="8"/>
      <c r="T146" s="8"/>
      <c r="U146" s="8"/>
      <c r="V146" s="8"/>
      <c r="W146" s="8"/>
      <c r="X146" s="8"/>
      <c r="Y146" s="8"/>
      <c r="Z146" s="8"/>
      <c r="AA146" s="529"/>
      <c r="AB146" s="529"/>
      <c r="AC146" s="529"/>
      <c r="AD146" s="529"/>
      <c r="AE146" s="529"/>
      <c r="AF146" s="529"/>
      <c r="AG146" s="529"/>
      <c r="AH146" s="529"/>
      <c r="AI146" s="529"/>
      <c r="AJ146" s="529"/>
      <c r="AK146" s="529"/>
      <c r="AL146" s="529"/>
      <c r="AM146" s="529"/>
      <c r="AN146" s="529"/>
      <c r="AO146" s="529"/>
      <c r="AP146" s="529"/>
      <c r="AQ146" s="529"/>
    </row>
    <row r="147" spans="1:44" s="89" customFormat="1" x14ac:dyDescent="0.35">
      <c r="A147" s="265" t="str">
        <f t="shared" si="24"/>
        <v>Eigenfaktor --&gt;</v>
      </c>
      <c r="B147"/>
      <c r="C147" s="89" t="str">
        <f>CONCATENATE(EFs_Geschäftsreisen[[#This Row],[Thema]]," - ",EFs_Geschäftsreisen[[#This Row],[Bezeichnung]])</f>
        <v xml:space="preserve">Geschäftsreisen - </v>
      </c>
      <c r="D147" s="109" t="str">
        <f t="shared" si="18"/>
        <v>Geschäftsreisen</v>
      </c>
      <c r="E147" s="529"/>
      <c r="F147" s="529"/>
      <c r="G147" s="530"/>
      <c r="H147" s="530"/>
      <c r="I147" s="530"/>
      <c r="J147" s="529"/>
      <c r="K147" s="529"/>
      <c r="L147" s="529"/>
      <c r="M147" s="529"/>
      <c r="N147" s="529"/>
      <c r="O147" s="529"/>
      <c r="P147" s="8" t="str">
        <f t="shared" si="25"/>
        <v>-</v>
      </c>
      <c r="Q147" s="8" t="str">
        <f t="shared" si="25"/>
        <v>-</v>
      </c>
      <c r="R147" s="8" t="str">
        <f>"Kat. 6"</f>
        <v>Kat. 6</v>
      </c>
      <c r="S147" s="8"/>
      <c r="T147" s="8"/>
      <c r="U147" s="8"/>
      <c r="V147" s="8"/>
      <c r="W147" s="8"/>
      <c r="X147" s="8"/>
      <c r="Y147" s="8"/>
      <c r="Z147" s="8"/>
      <c r="AA147" s="529"/>
      <c r="AB147" s="529"/>
      <c r="AC147" s="529"/>
      <c r="AD147" s="529"/>
      <c r="AE147" s="529"/>
      <c r="AF147" s="529"/>
      <c r="AG147" s="529"/>
      <c r="AH147" s="529"/>
      <c r="AI147" s="529"/>
      <c r="AJ147" s="529"/>
      <c r="AK147" s="529"/>
      <c r="AL147" s="529"/>
      <c r="AM147" s="529"/>
      <c r="AN147" s="529"/>
      <c r="AO147" s="529"/>
      <c r="AP147" s="529"/>
      <c r="AQ147" s="529"/>
    </row>
    <row r="148" spans="1:44" s="89" customFormat="1" x14ac:dyDescent="0.35">
      <c r="A148" s="265" t="str">
        <f t="shared" si="24"/>
        <v>Eigenfaktor --&gt;</v>
      </c>
      <c r="B148"/>
      <c r="C148" s="89" t="str">
        <f>CONCATENATE(EFs_Geschäftsreisen[[#This Row],[Thema]]," - ",EFs_Geschäftsreisen[[#This Row],[Bezeichnung]])</f>
        <v xml:space="preserve">Geschäftsreisen - </v>
      </c>
      <c r="D148" s="109" t="str">
        <f t="shared" si="18"/>
        <v>Geschäftsreisen</v>
      </c>
      <c r="E148" s="529"/>
      <c r="F148" s="529"/>
      <c r="G148" s="530"/>
      <c r="H148" s="530"/>
      <c r="I148" s="530"/>
      <c r="J148" s="529"/>
      <c r="K148" s="529"/>
      <c r="L148" s="529"/>
      <c r="M148" s="529"/>
      <c r="N148" s="529"/>
      <c r="O148" s="529"/>
      <c r="P148" s="8" t="str">
        <f t="shared" si="21"/>
        <v>-</v>
      </c>
      <c r="Q148" s="8" t="str">
        <f t="shared" si="22"/>
        <v>-</v>
      </c>
      <c r="R148" s="8" t="str">
        <f t="shared" si="23"/>
        <v>Kat. 6</v>
      </c>
      <c r="S148" s="8"/>
      <c r="T148" s="8"/>
      <c r="U148" s="8"/>
      <c r="V148" s="8"/>
      <c r="W148" s="8"/>
      <c r="X148" s="8"/>
      <c r="Y148" s="8"/>
      <c r="Z148" s="8"/>
      <c r="AA148" s="529"/>
      <c r="AB148" s="529"/>
      <c r="AC148" s="529"/>
      <c r="AD148" s="529"/>
      <c r="AE148" s="529"/>
      <c r="AF148" s="529"/>
      <c r="AG148" s="529"/>
      <c r="AH148" s="529"/>
      <c r="AI148" s="529"/>
      <c r="AJ148" s="529"/>
      <c r="AK148" s="529"/>
      <c r="AL148" s="529"/>
      <c r="AM148" s="529"/>
      <c r="AN148" s="529"/>
      <c r="AO148" s="529"/>
      <c r="AP148" s="529"/>
      <c r="AQ148" s="529"/>
    </row>
    <row r="149" spans="1:44" s="89" customFormat="1" x14ac:dyDescent="0.35">
      <c r="A149" s="357" t="str">
        <f t="shared" si="24"/>
        <v>Eigenfaktor --&gt;</v>
      </c>
      <c r="C149" s="89" t="str">
        <f>CONCATENATE(EFs_Geschäftsreisen[[#This Row],[Thema]]," - ",EFs_Geschäftsreisen[[#This Row],[Bezeichnung]])</f>
        <v xml:space="preserve">Geschäftsreisen - </v>
      </c>
      <c r="D149" s="530" t="str">
        <f t="shared" si="18"/>
        <v>Geschäftsreisen</v>
      </c>
      <c r="E149" s="529"/>
      <c r="F149" s="529"/>
      <c r="G149" s="530"/>
      <c r="H149" s="530"/>
      <c r="I149" s="530"/>
      <c r="J149" s="529"/>
      <c r="K149" s="529"/>
      <c r="L149" s="529"/>
      <c r="M149" s="529"/>
      <c r="N149" s="529"/>
      <c r="O149" s="529"/>
      <c r="P149" s="529" t="str">
        <f t="shared" si="21"/>
        <v>-</v>
      </c>
      <c r="Q149" s="529" t="str">
        <f t="shared" si="22"/>
        <v>-</v>
      </c>
      <c r="R149" s="529" t="str">
        <f t="shared" si="23"/>
        <v>Kat. 6</v>
      </c>
      <c r="S149" s="529"/>
      <c r="T149" s="529"/>
      <c r="U149" s="529"/>
      <c r="V149" s="529"/>
      <c r="W149" s="529"/>
      <c r="X149" s="529"/>
      <c r="Y149" s="529"/>
      <c r="Z149" s="529"/>
      <c r="AA149" s="529"/>
      <c r="AB149" s="529"/>
      <c r="AC149" s="529"/>
      <c r="AD149" s="529"/>
      <c r="AE149" s="529"/>
      <c r="AF149" s="529"/>
      <c r="AG149" s="529"/>
      <c r="AH149" s="529"/>
      <c r="AI149" s="529"/>
      <c r="AJ149" s="529"/>
      <c r="AK149" s="529"/>
      <c r="AL149" s="529"/>
      <c r="AM149" s="529"/>
      <c r="AN149" s="529"/>
      <c r="AO149" s="529"/>
      <c r="AP149" s="529"/>
      <c r="AQ149" s="529"/>
    </row>
    <row r="150" spans="1:44" s="89" customFormat="1" x14ac:dyDescent="0.35">
      <c r="A150" s="357" t="str">
        <f t="shared" si="24"/>
        <v>Eigenfaktor --&gt;</v>
      </c>
      <c r="C150" s="89" t="str">
        <f>CONCATENATE(EFs_Geschäftsreisen[[#This Row],[Thema]]," - ",EFs_Geschäftsreisen[[#This Row],[Bezeichnung]])</f>
        <v xml:space="preserve">Geschäftsreisen - </v>
      </c>
      <c r="D150" s="530" t="str">
        <f t="shared" si="18"/>
        <v>Geschäftsreisen</v>
      </c>
      <c r="E150" s="529"/>
      <c r="F150" s="529"/>
      <c r="G150" s="530"/>
      <c r="H150" s="530"/>
      <c r="I150" s="530"/>
      <c r="J150" s="529"/>
      <c r="K150" s="529"/>
      <c r="L150" s="529"/>
      <c r="M150" s="529"/>
      <c r="N150" s="529"/>
      <c r="O150" s="529"/>
      <c r="P150" s="529" t="str">
        <f t="shared" si="21"/>
        <v>-</v>
      </c>
      <c r="Q150" s="529" t="str">
        <f t="shared" si="22"/>
        <v>-</v>
      </c>
      <c r="R150" s="529" t="str">
        <f t="shared" si="23"/>
        <v>Kat. 6</v>
      </c>
      <c r="S150" s="529"/>
      <c r="T150" s="529"/>
      <c r="U150" s="529"/>
      <c r="V150" s="529"/>
      <c r="W150" s="529"/>
      <c r="X150" s="529"/>
      <c r="Y150" s="529"/>
      <c r="Z150" s="529"/>
      <c r="AA150" s="529"/>
      <c r="AB150" s="529"/>
      <c r="AC150" s="529"/>
      <c r="AD150" s="529"/>
      <c r="AE150" s="529"/>
      <c r="AF150" s="529"/>
      <c r="AG150" s="529"/>
      <c r="AH150" s="529"/>
      <c r="AI150" s="529"/>
      <c r="AJ150" s="529"/>
      <c r="AK150" s="529"/>
      <c r="AL150" s="529"/>
      <c r="AM150" s="529"/>
      <c r="AN150" s="529"/>
      <c r="AO150" s="529"/>
      <c r="AP150" s="529"/>
      <c r="AQ150" s="529"/>
    </row>
    <row r="151" spans="1:44" s="89" customFormat="1" x14ac:dyDescent="0.35">
      <c r="D151" s="530"/>
      <c r="E151" s="529"/>
      <c r="F151" s="529"/>
      <c r="G151" s="530"/>
      <c r="H151" s="530"/>
      <c r="I151" s="530"/>
      <c r="J151" s="529"/>
      <c r="K151" s="529"/>
      <c r="L151" s="529"/>
      <c r="M151" s="529"/>
      <c r="N151" s="529"/>
      <c r="O151" s="529"/>
      <c r="P151" s="529"/>
      <c r="Q151" s="529"/>
      <c r="R151" s="529"/>
      <c r="S151" s="529"/>
      <c r="T151" s="529"/>
      <c r="U151" s="529"/>
      <c r="V151" s="529"/>
      <c r="W151" s="529"/>
      <c r="X151" s="529"/>
      <c r="Y151" s="529"/>
      <c r="Z151" s="529"/>
      <c r="AA151" s="529"/>
      <c r="AB151" s="529"/>
      <c r="AC151" s="529"/>
      <c r="AD151" s="529"/>
      <c r="AE151" s="529"/>
      <c r="AF151" s="529"/>
      <c r="AG151" s="529"/>
      <c r="AH151" s="529"/>
      <c r="AI151" s="529"/>
      <c r="AJ151" s="529"/>
      <c r="AK151" s="529"/>
      <c r="AL151" s="529"/>
      <c r="AM151" s="529"/>
      <c r="AN151" s="529"/>
      <c r="AO151" s="529"/>
      <c r="AP151" s="529"/>
      <c r="AQ151" s="529"/>
      <c r="AR151" s="529"/>
    </row>
    <row r="152" spans="1:44" ht="30" customHeight="1" x14ac:dyDescent="0.35">
      <c r="A152" s="685" t="s">
        <v>332</v>
      </c>
      <c r="B152" s="685"/>
      <c r="C152" s="151" t="s">
        <v>46</v>
      </c>
      <c r="D152" s="151" t="s">
        <v>0</v>
      </c>
      <c r="E152" s="151" t="s">
        <v>1</v>
      </c>
      <c r="F152" s="151" t="s">
        <v>53</v>
      </c>
      <c r="G152" s="151" t="s">
        <v>485</v>
      </c>
      <c r="H152" s="151" t="s">
        <v>486</v>
      </c>
      <c r="I152" s="151" t="s">
        <v>487</v>
      </c>
      <c r="J152" s="151" t="s">
        <v>433</v>
      </c>
      <c r="K152" s="151" t="s">
        <v>483</v>
      </c>
      <c r="L152" s="151" t="s">
        <v>2</v>
      </c>
      <c r="M152" s="151" t="s">
        <v>3</v>
      </c>
      <c r="N152" s="151" t="s">
        <v>4</v>
      </c>
      <c r="O152" s="151" t="s">
        <v>21</v>
      </c>
      <c r="P152" s="151" t="s">
        <v>277</v>
      </c>
      <c r="Q152" s="151" t="s">
        <v>278</v>
      </c>
      <c r="R152" s="151" t="s">
        <v>279</v>
      </c>
      <c r="S152" s="8"/>
    </row>
    <row r="153" spans="1:44" x14ac:dyDescent="0.35">
      <c r="A153" s="685"/>
      <c r="B153" s="685"/>
      <c r="C153" t="str">
        <f>CONCATENATE(EFs_Pendeln[[#This Row],[Thema]]," - ",EFs_Pendeln[[#This Row],[Bezeichnung]])</f>
        <v>Pendeln_Mitarbeitende - zu Fuß/Fahrrad</v>
      </c>
      <c r="D153" s="109" t="str">
        <f t="shared" ref="D153:D170" si="26">"Pendeln_Mitarbeitende"</f>
        <v>Pendeln_Mitarbeitende</v>
      </c>
      <c r="E153" s="8" t="s">
        <v>82</v>
      </c>
      <c r="F153" s="8" t="s">
        <v>34</v>
      </c>
      <c r="G153" s="109">
        <v>0</v>
      </c>
      <c r="H153" s="109">
        <v>0</v>
      </c>
      <c r="I153" s="109">
        <v>0</v>
      </c>
      <c r="J153" s="8">
        <v>0</v>
      </c>
      <c r="K153" s="109" t="s">
        <v>125</v>
      </c>
      <c r="L153" s="8" t="s">
        <v>125</v>
      </c>
      <c r="M153" s="8" t="s">
        <v>125</v>
      </c>
      <c r="N153" s="8" t="s">
        <v>125</v>
      </c>
      <c r="O153" s="8" t="s">
        <v>125</v>
      </c>
      <c r="P153" s="8" t="str">
        <f t="shared" ref="P153:Q160" si="27">"-"</f>
        <v>-</v>
      </c>
      <c r="Q153" s="8" t="str">
        <f t="shared" si="27"/>
        <v>-</v>
      </c>
      <c r="R153" s="8" t="str">
        <f t="shared" ref="R153:R160" si="28">"Kat. 7"</f>
        <v>Kat. 7</v>
      </c>
      <c r="S153" s="8"/>
    </row>
    <row r="154" spans="1:44" x14ac:dyDescent="0.35">
      <c r="A154"/>
      <c r="B154"/>
      <c r="C154" t="str">
        <f>CONCATENATE(EFs_Pendeln[[#This Row],[Thema]]," - ",EFs_Pendeln[[#This Row],[Bezeichnung]])</f>
        <v>Pendeln_Mitarbeitende - ÖPNV</v>
      </c>
      <c r="D154" s="109" t="str">
        <f t="shared" si="26"/>
        <v>Pendeln_Mitarbeitende</v>
      </c>
      <c r="E154" s="8" t="s">
        <v>32</v>
      </c>
      <c r="F154" s="8" t="s">
        <v>34</v>
      </c>
      <c r="G154" s="109">
        <v>0</v>
      </c>
      <c r="H154" s="109">
        <v>0</v>
      </c>
      <c r="I154" s="109">
        <v>5.9676199999999999E-2</v>
      </c>
      <c r="J154" s="8">
        <v>0</v>
      </c>
      <c r="K154" s="109" t="s">
        <v>125</v>
      </c>
      <c r="L154" s="8" t="s">
        <v>125</v>
      </c>
      <c r="M154" s="8" t="s">
        <v>125</v>
      </c>
      <c r="N154" s="8" t="s">
        <v>664</v>
      </c>
      <c r="O154" s="8" t="s">
        <v>693</v>
      </c>
      <c r="P154" s="8" t="str">
        <f t="shared" si="27"/>
        <v>-</v>
      </c>
      <c r="Q154" s="8" t="str">
        <f t="shared" si="27"/>
        <v>-</v>
      </c>
      <c r="R154" s="8" t="str">
        <f t="shared" si="28"/>
        <v>Kat. 7</v>
      </c>
      <c r="S154" s="8"/>
    </row>
    <row r="155" spans="1:44" x14ac:dyDescent="0.35">
      <c r="A155"/>
      <c r="B155"/>
      <c r="C155" t="str">
        <f>CONCATENATE(EFs_Pendeln[[#This Row],[Thema]]," - ",EFs_Pendeln[[#This Row],[Bezeichnung]])</f>
        <v>Pendeln_Mitarbeitende - PKW (Durchschnitt)</v>
      </c>
      <c r="D155" s="109" t="str">
        <f t="shared" si="26"/>
        <v>Pendeln_Mitarbeitende</v>
      </c>
      <c r="E155" s="8" t="s">
        <v>426</v>
      </c>
      <c r="F155" s="8" t="s">
        <v>34</v>
      </c>
      <c r="G155" s="109">
        <v>0</v>
      </c>
      <c r="H155" s="109">
        <v>0</v>
      </c>
      <c r="I155" s="109">
        <v>0.16417570000000001</v>
      </c>
      <c r="J155" s="8">
        <v>0</v>
      </c>
      <c r="K155" s="8">
        <v>1.4</v>
      </c>
      <c r="L155" s="8" t="s">
        <v>125</v>
      </c>
      <c r="M155" s="8" t="s">
        <v>125</v>
      </c>
      <c r="N155" s="153" t="s">
        <v>662</v>
      </c>
      <c r="O155" s="8" t="s">
        <v>690</v>
      </c>
      <c r="P155" s="8" t="str">
        <f t="shared" si="27"/>
        <v>-</v>
      </c>
      <c r="Q155" s="8" t="str">
        <f t="shared" si="27"/>
        <v>-</v>
      </c>
      <c r="R155" s="8" t="str">
        <f t="shared" si="28"/>
        <v>Kat. 7</v>
      </c>
      <c r="S155" s="8"/>
    </row>
    <row r="156" spans="1:44" x14ac:dyDescent="0.35">
      <c r="A156"/>
      <c r="B156"/>
      <c r="C156" s="52" t="str">
        <f>CONCATENATE(EFs_Pendeln[[#This Row],[Thema]]," - ",EFs_Pendeln[[#This Row],[Bezeichnung]])</f>
        <v>Pendeln_Mitarbeitende - PKW (Verbrennungsmotor)</v>
      </c>
      <c r="D156" s="109" t="str">
        <f t="shared" si="26"/>
        <v>Pendeln_Mitarbeitende</v>
      </c>
      <c r="E156" s="8" t="s">
        <v>427</v>
      </c>
      <c r="F156" s="8" t="s">
        <v>34</v>
      </c>
      <c r="G156" s="109">
        <v>0</v>
      </c>
      <c r="H156" s="109">
        <v>0</v>
      </c>
      <c r="I156" s="109">
        <v>0.16970469999999999</v>
      </c>
      <c r="J156" s="8">
        <v>0</v>
      </c>
      <c r="K156" s="8">
        <v>1.4</v>
      </c>
      <c r="L156" s="8"/>
      <c r="M156" s="8"/>
      <c r="N156" s="153" t="s">
        <v>664</v>
      </c>
      <c r="O156" s="8" t="s">
        <v>691</v>
      </c>
      <c r="P156" s="8" t="str">
        <f t="shared" si="27"/>
        <v>-</v>
      </c>
      <c r="Q156" s="8" t="str">
        <f t="shared" si="27"/>
        <v>-</v>
      </c>
      <c r="R156" s="8" t="str">
        <f t="shared" si="28"/>
        <v>Kat. 7</v>
      </c>
      <c r="S156" s="8"/>
    </row>
    <row r="157" spans="1:44" x14ac:dyDescent="0.35">
      <c r="A157"/>
      <c r="B157"/>
      <c r="C157" s="52" t="str">
        <f>CONCATENATE(EFs_Pendeln[[#This Row],[Thema]]," - ",EFs_Pendeln[[#This Row],[Bezeichnung]])</f>
        <v>Pendeln_Mitarbeitende - PKW (elektrisch)</v>
      </c>
      <c r="D157" s="109" t="str">
        <f t="shared" si="26"/>
        <v>Pendeln_Mitarbeitende</v>
      </c>
      <c r="E157" s="8" t="s">
        <v>428</v>
      </c>
      <c r="F157" s="8" t="s">
        <v>34</v>
      </c>
      <c r="G157" s="109">
        <v>0</v>
      </c>
      <c r="H157" s="109">
        <v>0</v>
      </c>
      <c r="I157" s="109">
        <v>6.9548399999999996E-2</v>
      </c>
      <c r="J157" s="8">
        <v>0</v>
      </c>
      <c r="K157" s="8">
        <v>1.4</v>
      </c>
      <c r="L157" s="8"/>
      <c r="M157" s="8"/>
      <c r="N157" s="153" t="s">
        <v>662</v>
      </c>
      <c r="O157" s="8" t="s">
        <v>692</v>
      </c>
      <c r="P157" s="8" t="str">
        <f t="shared" si="27"/>
        <v>-</v>
      </c>
      <c r="Q157" s="8" t="str">
        <f t="shared" si="27"/>
        <v>-</v>
      </c>
      <c r="R157" s="8" t="str">
        <f t="shared" si="28"/>
        <v>Kat. 7</v>
      </c>
      <c r="S157" s="8"/>
    </row>
    <row r="158" spans="1:44" x14ac:dyDescent="0.35">
      <c r="A158"/>
      <c r="B158"/>
      <c r="C158" t="str">
        <f>CONCATENATE(EFs_Pendeln[[#This Row],[Thema]]," - ",EFs_Pendeln[[#This Row],[Bezeichnung]])</f>
        <v>Pendeln_Mitarbeitende - Bahn Fernverkehr</v>
      </c>
      <c r="D158" s="109" t="str">
        <f t="shared" si="26"/>
        <v>Pendeln_Mitarbeitende</v>
      </c>
      <c r="E158" s="8" t="s">
        <v>33</v>
      </c>
      <c r="F158" s="8" t="s">
        <v>34</v>
      </c>
      <c r="G158" s="109">
        <v>0</v>
      </c>
      <c r="H158" s="109">
        <v>0</v>
      </c>
      <c r="I158" s="109">
        <v>2.5660700000000002E-2</v>
      </c>
      <c r="J158" s="8">
        <v>0</v>
      </c>
      <c r="K158" s="109" t="s">
        <v>125</v>
      </c>
      <c r="L158" s="8" t="s">
        <v>125</v>
      </c>
      <c r="M158" s="8" t="s">
        <v>125</v>
      </c>
      <c r="N158" s="8" t="s">
        <v>662</v>
      </c>
      <c r="O158" s="8" t="s">
        <v>696</v>
      </c>
      <c r="P158" s="8" t="str">
        <f t="shared" si="27"/>
        <v>-</v>
      </c>
      <c r="Q158" s="8" t="str">
        <f t="shared" si="27"/>
        <v>-</v>
      </c>
      <c r="R158" s="8" t="str">
        <f t="shared" si="28"/>
        <v>Kat. 7</v>
      </c>
      <c r="S158" s="8"/>
    </row>
    <row r="159" spans="1:44" x14ac:dyDescent="0.35">
      <c r="A159"/>
      <c r="B159"/>
      <c r="C159" t="str">
        <f>CONCATENATE(EFs_Pendeln[[#This Row],[Thema]]," - ",EFs_Pendeln[[#This Row],[Bezeichnung]])</f>
        <v>Pendeln_Mitarbeitende - Anfahrtswegpauschale</v>
      </c>
      <c r="D159" s="109" t="str">
        <f t="shared" si="26"/>
        <v>Pendeln_Mitarbeitende</v>
      </c>
      <c r="E159" s="8" t="s">
        <v>247</v>
      </c>
      <c r="F159" s="8" t="s">
        <v>181</v>
      </c>
      <c r="G159" s="109">
        <v>0</v>
      </c>
      <c r="H159" s="109">
        <v>0</v>
      </c>
      <c r="I159" s="109">
        <v>876.66823969999996</v>
      </c>
      <c r="J159" s="8">
        <v>0</v>
      </c>
      <c r="K159" s="109" t="s">
        <v>125</v>
      </c>
      <c r="L159" s="8" t="s">
        <v>125</v>
      </c>
      <c r="M159" s="8" t="s">
        <v>125</v>
      </c>
      <c r="N159" s="8" t="s">
        <v>701</v>
      </c>
      <c r="O159" s="8" t="s">
        <v>702</v>
      </c>
      <c r="P159" s="8" t="str">
        <f t="shared" si="27"/>
        <v>-</v>
      </c>
      <c r="Q159" s="8" t="str">
        <f t="shared" si="27"/>
        <v>-</v>
      </c>
      <c r="R159" s="8" t="str">
        <f t="shared" si="28"/>
        <v>Kat. 7</v>
      </c>
      <c r="S159" s="8"/>
    </row>
    <row r="160" spans="1:44" x14ac:dyDescent="0.35">
      <c r="A160"/>
      <c r="B160"/>
      <c r="C160" s="52" t="str">
        <f>CONCATENATE(EFs_Pendeln[[#This Row],[Thema]]," - ",EFs_Pendeln[[#This Row],[Bezeichnung]])</f>
        <v>Pendeln_Mitarbeitende - mobiles Arbeiten</v>
      </c>
      <c r="D160" s="109" t="str">
        <f t="shared" si="26"/>
        <v>Pendeln_Mitarbeitende</v>
      </c>
      <c r="E160" s="8" t="s">
        <v>430</v>
      </c>
      <c r="F160" s="8" t="s">
        <v>569</v>
      </c>
      <c r="G160" s="109">
        <v>0</v>
      </c>
      <c r="H160" s="109">
        <v>0</v>
      </c>
      <c r="I160" s="109">
        <v>2.1</v>
      </c>
      <c r="J160" s="8">
        <v>0</v>
      </c>
      <c r="K160" s="109" t="s">
        <v>125</v>
      </c>
      <c r="L160" s="8" t="s">
        <v>125</v>
      </c>
      <c r="M160" s="8" t="s">
        <v>125</v>
      </c>
      <c r="N160" s="153" t="s">
        <v>662</v>
      </c>
      <c r="O160" s="8" t="s">
        <v>703</v>
      </c>
      <c r="P160" s="8" t="str">
        <f t="shared" si="27"/>
        <v>-</v>
      </c>
      <c r="Q160" s="8" t="str">
        <f t="shared" si="27"/>
        <v>-</v>
      </c>
      <c r="R160" s="8" t="str">
        <f t="shared" si="28"/>
        <v>Kat. 7</v>
      </c>
      <c r="S160" s="8"/>
    </row>
    <row r="161" spans="1:44" s="89" customFormat="1" x14ac:dyDescent="0.35">
      <c r="A161" s="265" t="str">
        <f>"Eigenfaktor --&gt;"</f>
        <v>Eigenfaktor --&gt;</v>
      </c>
      <c r="B161"/>
      <c r="C161" s="89" t="str">
        <f>CONCATENATE(EFs_Pendeln[[#This Row],[Thema]]," - ",EFs_Pendeln[[#This Row],[Bezeichnung]])</f>
        <v xml:space="preserve">Pendeln_Mitarbeitende - </v>
      </c>
      <c r="D161" s="109" t="str">
        <f t="shared" si="26"/>
        <v>Pendeln_Mitarbeitende</v>
      </c>
      <c r="E161" s="529"/>
      <c r="F161" s="529"/>
      <c r="G161" s="530"/>
      <c r="H161" s="530"/>
      <c r="I161" s="530"/>
      <c r="J161" s="530"/>
      <c r="K161" s="530"/>
      <c r="L161" s="529"/>
      <c r="M161" s="529"/>
      <c r="N161" s="529"/>
      <c r="O161" s="529"/>
      <c r="P161" s="8" t="str">
        <f t="shared" ref="P161:P170" si="29">"-"</f>
        <v>-</v>
      </c>
      <c r="Q161" s="8" t="str">
        <f t="shared" ref="Q161:Q170" si="30">"-"</f>
        <v>-</v>
      </c>
      <c r="R161" s="8" t="str">
        <f t="shared" ref="R161:R170" si="31">"Kat. 7"</f>
        <v>Kat. 7</v>
      </c>
      <c r="S161" s="529"/>
      <c r="T161" s="8"/>
      <c r="U161" s="8"/>
      <c r="V161" s="8"/>
      <c r="W161" s="8"/>
      <c r="X161" s="8"/>
      <c r="Y161" s="8"/>
      <c r="Z161" s="8"/>
      <c r="AA161" s="8"/>
      <c r="AB161" s="529"/>
      <c r="AC161" s="529"/>
      <c r="AD161" s="529"/>
      <c r="AE161" s="529"/>
      <c r="AF161" s="529"/>
      <c r="AG161" s="529"/>
      <c r="AH161" s="529"/>
      <c r="AI161" s="529"/>
      <c r="AJ161" s="529"/>
      <c r="AK161" s="529"/>
      <c r="AL161" s="529"/>
      <c r="AM161" s="529"/>
      <c r="AN161" s="529"/>
      <c r="AO161" s="529"/>
      <c r="AP161" s="529"/>
      <c r="AQ161" s="529"/>
      <c r="AR161" s="529"/>
    </row>
    <row r="162" spans="1:44" s="89" customFormat="1" x14ac:dyDescent="0.35">
      <c r="A162" s="265" t="str">
        <f t="shared" ref="A162:A170" si="32">"Eigenfaktor --&gt;"</f>
        <v>Eigenfaktor --&gt;</v>
      </c>
      <c r="B162"/>
      <c r="C162" s="89" t="str">
        <f>CONCATENATE(EFs_Pendeln[[#This Row],[Thema]]," - ",EFs_Pendeln[[#This Row],[Bezeichnung]])</f>
        <v xml:space="preserve">Pendeln_Mitarbeitende - </v>
      </c>
      <c r="D162" s="109" t="str">
        <f t="shared" si="26"/>
        <v>Pendeln_Mitarbeitende</v>
      </c>
      <c r="E162" s="529"/>
      <c r="F162" s="529"/>
      <c r="G162" s="530"/>
      <c r="H162" s="530"/>
      <c r="I162" s="530"/>
      <c r="J162" s="530"/>
      <c r="K162" s="530"/>
      <c r="L162" s="529"/>
      <c r="M162" s="529"/>
      <c r="N162" s="529"/>
      <c r="O162" s="529"/>
      <c r="P162" s="8" t="str">
        <f t="shared" si="29"/>
        <v>-</v>
      </c>
      <c r="Q162" s="8" t="str">
        <f t="shared" si="30"/>
        <v>-</v>
      </c>
      <c r="R162" s="8" t="str">
        <f t="shared" si="31"/>
        <v>Kat. 7</v>
      </c>
      <c r="S162" s="529"/>
      <c r="T162" s="8"/>
      <c r="U162" s="8"/>
      <c r="V162" s="8"/>
      <c r="W162" s="8"/>
      <c r="X162" s="8"/>
      <c r="Y162" s="8"/>
      <c r="Z162" s="8"/>
      <c r="AA162" s="8"/>
      <c r="AB162" s="529"/>
      <c r="AC162" s="529"/>
      <c r="AD162" s="529"/>
      <c r="AE162" s="529"/>
      <c r="AF162" s="529"/>
      <c r="AG162" s="529"/>
      <c r="AH162" s="529"/>
      <c r="AI162" s="529"/>
      <c r="AJ162" s="529"/>
      <c r="AK162" s="529"/>
      <c r="AL162" s="529"/>
      <c r="AM162" s="529"/>
      <c r="AN162" s="529"/>
      <c r="AO162" s="529"/>
      <c r="AP162" s="529"/>
      <c r="AQ162" s="529"/>
      <c r="AR162" s="529"/>
    </row>
    <row r="163" spans="1:44" s="89" customFormat="1" x14ac:dyDescent="0.35">
      <c r="A163" s="265" t="str">
        <f t="shared" si="32"/>
        <v>Eigenfaktor --&gt;</v>
      </c>
      <c r="B163"/>
      <c r="C163" s="89" t="str">
        <f>CONCATENATE(EFs_Pendeln[[#This Row],[Thema]]," - ",EFs_Pendeln[[#This Row],[Bezeichnung]])</f>
        <v xml:space="preserve">Pendeln_Mitarbeitende - </v>
      </c>
      <c r="D163" s="109" t="str">
        <f t="shared" si="26"/>
        <v>Pendeln_Mitarbeitende</v>
      </c>
      <c r="E163" s="529"/>
      <c r="F163" s="529"/>
      <c r="G163" s="530"/>
      <c r="H163" s="530"/>
      <c r="I163" s="530"/>
      <c r="J163" s="530"/>
      <c r="K163" s="530"/>
      <c r="L163" s="529"/>
      <c r="M163" s="529"/>
      <c r="N163" s="529"/>
      <c r="O163" s="529"/>
      <c r="P163" s="8" t="str">
        <f t="shared" ref="P163:Q167" si="33">"-"</f>
        <v>-</v>
      </c>
      <c r="Q163" s="8" t="str">
        <f t="shared" si="33"/>
        <v>-</v>
      </c>
      <c r="R163" s="8" t="str">
        <f>"Kat. 7"</f>
        <v>Kat. 7</v>
      </c>
      <c r="S163" s="529"/>
      <c r="T163" s="8"/>
      <c r="U163" s="8"/>
      <c r="V163" s="8"/>
      <c r="W163" s="8"/>
      <c r="X163" s="8"/>
      <c r="Y163" s="8"/>
      <c r="Z163" s="8"/>
      <c r="AA163" s="8"/>
      <c r="AB163" s="529"/>
      <c r="AC163" s="529"/>
      <c r="AD163" s="529"/>
      <c r="AE163" s="529"/>
      <c r="AF163" s="529"/>
      <c r="AG163" s="529"/>
      <c r="AH163" s="529"/>
      <c r="AI163" s="529"/>
      <c r="AJ163" s="529"/>
      <c r="AK163" s="529"/>
      <c r="AL163" s="529"/>
      <c r="AM163" s="529"/>
      <c r="AN163" s="529"/>
      <c r="AO163" s="529"/>
      <c r="AP163" s="529"/>
      <c r="AQ163" s="529"/>
      <c r="AR163" s="529"/>
    </row>
    <row r="164" spans="1:44" s="89" customFormat="1" x14ac:dyDescent="0.35">
      <c r="A164" s="265" t="str">
        <f t="shared" si="32"/>
        <v>Eigenfaktor --&gt;</v>
      </c>
      <c r="B164"/>
      <c r="C164" s="89" t="str">
        <f>CONCATENATE(EFs_Pendeln[[#This Row],[Thema]]," - ",EFs_Pendeln[[#This Row],[Bezeichnung]])</f>
        <v xml:space="preserve">Pendeln_Mitarbeitende - </v>
      </c>
      <c r="D164" s="109" t="str">
        <f t="shared" si="26"/>
        <v>Pendeln_Mitarbeitende</v>
      </c>
      <c r="E164" s="529"/>
      <c r="F164" s="529"/>
      <c r="G164" s="530"/>
      <c r="H164" s="530"/>
      <c r="I164" s="530"/>
      <c r="J164" s="530"/>
      <c r="K164" s="530"/>
      <c r="L164" s="529"/>
      <c r="M164" s="529"/>
      <c r="N164" s="529"/>
      <c r="O164" s="529"/>
      <c r="P164" s="8" t="str">
        <f t="shared" si="33"/>
        <v>-</v>
      </c>
      <c r="Q164" s="8" t="str">
        <f t="shared" si="33"/>
        <v>-</v>
      </c>
      <c r="R164" s="8" t="str">
        <f>"Kat. 7"</f>
        <v>Kat. 7</v>
      </c>
      <c r="S164" s="529"/>
      <c r="T164" s="8"/>
      <c r="U164" s="8"/>
      <c r="V164" s="8"/>
      <c r="W164" s="8"/>
      <c r="X164" s="8"/>
      <c r="Y164" s="8"/>
      <c r="Z164" s="8"/>
      <c r="AA164" s="8"/>
      <c r="AB164" s="529"/>
      <c r="AC164" s="529"/>
      <c r="AD164" s="529"/>
      <c r="AE164" s="529"/>
      <c r="AF164" s="529"/>
      <c r="AG164" s="529"/>
      <c r="AH164" s="529"/>
      <c r="AI164" s="529"/>
      <c r="AJ164" s="529"/>
      <c r="AK164" s="529"/>
      <c r="AL164" s="529"/>
      <c r="AM164" s="529"/>
      <c r="AN164" s="529"/>
      <c r="AO164" s="529"/>
      <c r="AP164" s="529"/>
      <c r="AQ164" s="529"/>
      <c r="AR164" s="529"/>
    </row>
    <row r="165" spans="1:44" s="89" customFormat="1" x14ac:dyDescent="0.35">
      <c r="A165" s="265" t="str">
        <f t="shared" si="32"/>
        <v>Eigenfaktor --&gt;</v>
      </c>
      <c r="B165"/>
      <c r="C165" s="89" t="str">
        <f>CONCATENATE(EFs_Pendeln[[#This Row],[Thema]]," - ",EFs_Pendeln[[#This Row],[Bezeichnung]])</f>
        <v xml:space="preserve">Pendeln_Mitarbeitende - </v>
      </c>
      <c r="D165" s="109" t="str">
        <f t="shared" si="26"/>
        <v>Pendeln_Mitarbeitende</v>
      </c>
      <c r="E165" s="529"/>
      <c r="F165" s="529"/>
      <c r="G165" s="530"/>
      <c r="H165" s="530"/>
      <c r="I165" s="530"/>
      <c r="J165" s="530"/>
      <c r="K165" s="530"/>
      <c r="L165" s="529"/>
      <c r="M165" s="529"/>
      <c r="N165" s="529"/>
      <c r="O165" s="529"/>
      <c r="P165" s="8" t="str">
        <f t="shared" si="33"/>
        <v>-</v>
      </c>
      <c r="Q165" s="8" t="str">
        <f t="shared" si="33"/>
        <v>-</v>
      </c>
      <c r="R165" s="8" t="str">
        <f>"Kat. 7"</f>
        <v>Kat. 7</v>
      </c>
      <c r="S165" s="529"/>
      <c r="T165" s="8"/>
      <c r="U165" s="8"/>
      <c r="V165" s="8"/>
      <c r="W165" s="8"/>
      <c r="X165" s="8"/>
      <c r="Y165" s="8"/>
      <c r="Z165" s="8"/>
      <c r="AA165" s="8"/>
      <c r="AB165" s="529"/>
      <c r="AC165" s="529"/>
      <c r="AD165" s="529"/>
      <c r="AE165" s="529"/>
      <c r="AF165" s="529"/>
      <c r="AG165" s="529"/>
      <c r="AH165" s="529"/>
      <c r="AI165" s="529"/>
      <c r="AJ165" s="529"/>
      <c r="AK165" s="529"/>
      <c r="AL165" s="529"/>
      <c r="AM165" s="529"/>
      <c r="AN165" s="529"/>
      <c r="AO165" s="529"/>
      <c r="AP165" s="529"/>
      <c r="AQ165" s="529"/>
      <c r="AR165" s="529"/>
    </row>
    <row r="166" spans="1:44" s="89" customFormat="1" x14ac:dyDescent="0.35">
      <c r="A166" s="265" t="str">
        <f t="shared" si="32"/>
        <v>Eigenfaktor --&gt;</v>
      </c>
      <c r="B166"/>
      <c r="C166" s="89" t="str">
        <f>CONCATENATE(EFs_Pendeln[[#This Row],[Thema]]," - ",EFs_Pendeln[[#This Row],[Bezeichnung]])</f>
        <v xml:space="preserve">Pendeln_Mitarbeitende - </v>
      </c>
      <c r="D166" s="109" t="str">
        <f t="shared" si="26"/>
        <v>Pendeln_Mitarbeitende</v>
      </c>
      <c r="E166" s="529"/>
      <c r="F166" s="529"/>
      <c r="G166" s="530"/>
      <c r="H166" s="530"/>
      <c r="I166" s="530"/>
      <c r="J166" s="530"/>
      <c r="K166" s="530"/>
      <c r="L166" s="529"/>
      <c r="M166" s="529"/>
      <c r="N166" s="529"/>
      <c r="O166" s="529"/>
      <c r="P166" s="8" t="str">
        <f t="shared" si="33"/>
        <v>-</v>
      </c>
      <c r="Q166" s="8" t="str">
        <f t="shared" si="33"/>
        <v>-</v>
      </c>
      <c r="R166" s="8" t="str">
        <f>"Kat. 7"</f>
        <v>Kat. 7</v>
      </c>
      <c r="S166" s="529"/>
      <c r="T166" s="8"/>
      <c r="U166" s="8"/>
      <c r="V166" s="8"/>
      <c r="W166" s="8"/>
      <c r="X166" s="8"/>
      <c r="Y166" s="8"/>
      <c r="Z166" s="8"/>
      <c r="AA166" s="8"/>
      <c r="AB166" s="529"/>
      <c r="AC166" s="529"/>
      <c r="AD166" s="529"/>
      <c r="AE166" s="529"/>
      <c r="AF166" s="529"/>
      <c r="AG166" s="529"/>
      <c r="AH166" s="529"/>
      <c r="AI166" s="529"/>
      <c r="AJ166" s="529"/>
      <c r="AK166" s="529"/>
      <c r="AL166" s="529"/>
      <c r="AM166" s="529"/>
      <c r="AN166" s="529"/>
      <c r="AO166" s="529"/>
      <c r="AP166" s="529"/>
      <c r="AQ166" s="529"/>
      <c r="AR166" s="529"/>
    </row>
    <row r="167" spans="1:44" s="89" customFormat="1" x14ac:dyDescent="0.35">
      <c r="A167" s="265" t="str">
        <f t="shared" si="32"/>
        <v>Eigenfaktor --&gt;</v>
      </c>
      <c r="B167"/>
      <c r="C167" s="89" t="str">
        <f>CONCATENATE(EFs_Pendeln[[#This Row],[Thema]]," - ",EFs_Pendeln[[#This Row],[Bezeichnung]])</f>
        <v xml:space="preserve">Pendeln_Mitarbeitende - </v>
      </c>
      <c r="D167" s="109" t="str">
        <f t="shared" si="26"/>
        <v>Pendeln_Mitarbeitende</v>
      </c>
      <c r="E167" s="529"/>
      <c r="F167" s="529"/>
      <c r="G167" s="530"/>
      <c r="H167" s="530"/>
      <c r="I167" s="530"/>
      <c r="J167" s="530"/>
      <c r="K167" s="530"/>
      <c r="L167" s="529"/>
      <c r="M167" s="529"/>
      <c r="N167" s="529"/>
      <c r="O167" s="529"/>
      <c r="P167" s="8" t="str">
        <f t="shared" si="33"/>
        <v>-</v>
      </c>
      <c r="Q167" s="8" t="str">
        <f t="shared" si="33"/>
        <v>-</v>
      </c>
      <c r="R167" s="8" t="str">
        <f>"Kat. 7"</f>
        <v>Kat. 7</v>
      </c>
      <c r="S167" s="529"/>
      <c r="T167" s="8"/>
      <c r="U167" s="8"/>
      <c r="V167" s="8"/>
      <c r="W167" s="8"/>
      <c r="X167" s="8"/>
      <c r="Y167" s="8"/>
      <c r="Z167" s="8"/>
      <c r="AA167" s="8"/>
      <c r="AB167" s="529"/>
      <c r="AC167" s="529"/>
      <c r="AD167" s="529"/>
      <c r="AE167" s="529"/>
      <c r="AF167" s="529"/>
      <c r="AG167" s="529"/>
      <c r="AH167" s="529"/>
      <c r="AI167" s="529"/>
      <c r="AJ167" s="529"/>
      <c r="AK167" s="529"/>
      <c r="AL167" s="529"/>
      <c r="AM167" s="529"/>
      <c r="AN167" s="529"/>
      <c r="AO167" s="529"/>
      <c r="AP167" s="529"/>
      <c r="AQ167" s="529"/>
      <c r="AR167" s="529"/>
    </row>
    <row r="168" spans="1:44" s="89" customFormat="1" x14ac:dyDescent="0.35">
      <c r="A168" s="265" t="str">
        <f t="shared" si="32"/>
        <v>Eigenfaktor --&gt;</v>
      </c>
      <c r="B168"/>
      <c r="C168" s="89" t="str">
        <f>CONCATENATE(EFs_Pendeln[[#This Row],[Thema]]," - ",EFs_Pendeln[[#This Row],[Bezeichnung]])</f>
        <v xml:space="preserve">Pendeln_Mitarbeitende - </v>
      </c>
      <c r="D168" s="109" t="str">
        <f t="shared" si="26"/>
        <v>Pendeln_Mitarbeitende</v>
      </c>
      <c r="E168" s="529"/>
      <c r="F168" s="529"/>
      <c r="G168" s="530"/>
      <c r="H168" s="530"/>
      <c r="I168" s="530"/>
      <c r="J168" s="530"/>
      <c r="K168" s="530"/>
      <c r="L168" s="529"/>
      <c r="M168" s="529"/>
      <c r="N168" s="529"/>
      <c r="O168" s="529"/>
      <c r="P168" s="8" t="str">
        <f t="shared" si="29"/>
        <v>-</v>
      </c>
      <c r="Q168" s="8" t="str">
        <f t="shared" si="30"/>
        <v>-</v>
      </c>
      <c r="R168" s="8" t="str">
        <f t="shared" si="31"/>
        <v>Kat. 7</v>
      </c>
      <c r="S168" s="529"/>
      <c r="T168" s="8"/>
      <c r="U168" s="8"/>
      <c r="V168" s="8"/>
      <c r="W168" s="8"/>
      <c r="X168" s="8"/>
      <c r="Y168" s="8"/>
      <c r="Z168" s="8"/>
      <c r="AA168" s="8"/>
      <c r="AB168" s="529"/>
      <c r="AC168" s="529"/>
      <c r="AD168" s="529"/>
      <c r="AE168" s="529"/>
      <c r="AF168" s="529"/>
      <c r="AG168" s="529"/>
      <c r="AH168" s="529"/>
      <c r="AI168" s="529"/>
      <c r="AJ168" s="529"/>
      <c r="AK168" s="529"/>
      <c r="AL168" s="529"/>
      <c r="AM168" s="529"/>
      <c r="AN168" s="529"/>
      <c r="AO168" s="529"/>
      <c r="AP168" s="529"/>
      <c r="AQ168" s="529"/>
      <c r="AR168" s="529"/>
    </row>
    <row r="169" spans="1:44" s="89" customFormat="1" x14ac:dyDescent="0.35">
      <c r="A169" s="357" t="str">
        <f t="shared" si="32"/>
        <v>Eigenfaktor --&gt;</v>
      </c>
      <c r="C169" s="89" t="str">
        <f>CONCATENATE(EFs_Pendeln[[#This Row],[Thema]]," - ",EFs_Pendeln[[#This Row],[Bezeichnung]])</f>
        <v xml:space="preserve">Pendeln_Mitarbeitende - </v>
      </c>
      <c r="D169" s="530" t="str">
        <f t="shared" si="26"/>
        <v>Pendeln_Mitarbeitende</v>
      </c>
      <c r="E169" s="529"/>
      <c r="F169" s="529"/>
      <c r="G169" s="530"/>
      <c r="H169" s="530"/>
      <c r="I169" s="530"/>
      <c r="J169" s="530"/>
      <c r="K169" s="530"/>
      <c r="L169" s="529"/>
      <c r="M169" s="529"/>
      <c r="N169" s="529"/>
      <c r="O169" s="529"/>
      <c r="P169" s="529" t="str">
        <f t="shared" si="29"/>
        <v>-</v>
      </c>
      <c r="Q169" s="529" t="str">
        <f t="shared" si="30"/>
        <v>-</v>
      </c>
      <c r="R169" s="529" t="str">
        <f t="shared" si="31"/>
        <v>Kat. 7</v>
      </c>
      <c r="S169" s="529"/>
      <c r="T169" s="529"/>
      <c r="U169" s="529"/>
      <c r="V169" s="529"/>
      <c r="W169" s="529"/>
      <c r="X169" s="529"/>
      <c r="Y169" s="529"/>
      <c r="Z169" s="529"/>
      <c r="AA169" s="529"/>
      <c r="AB169" s="529"/>
      <c r="AC169" s="529"/>
      <c r="AD169" s="529"/>
      <c r="AE169" s="529"/>
      <c r="AF169" s="529"/>
      <c r="AG169" s="529"/>
      <c r="AH169" s="529"/>
      <c r="AI169" s="529"/>
      <c r="AJ169" s="529"/>
      <c r="AK169" s="529"/>
      <c r="AL169" s="529"/>
      <c r="AM169" s="529"/>
      <c r="AN169" s="529"/>
      <c r="AO169" s="529"/>
      <c r="AP169" s="529"/>
      <c r="AQ169" s="529"/>
      <c r="AR169" s="529"/>
    </row>
    <row r="170" spans="1:44" s="89" customFormat="1" x14ac:dyDescent="0.35">
      <c r="A170" s="357" t="str">
        <f t="shared" si="32"/>
        <v>Eigenfaktor --&gt;</v>
      </c>
      <c r="C170" s="89" t="str">
        <f>CONCATENATE(EFs_Pendeln[[#This Row],[Thema]]," - ",EFs_Pendeln[[#This Row],[Bezeichnung]])</f>
        <v xml:space="preserve">Pendeln_Mitarbeitende - </v>
      </c>
      <c r="D170" s="530" t="str">
        <f t="shared" si="26"/>
        <v>Pendeln_Mitarbeitende</v>
      </c>
      <c r="E170" s="529"/>
      <c r="F170" s="529"/>
      <c r="G170" s="530"/>
      <c r="H170" s="530"/>
      <c r="I170" s="530"/>
      <c r="J170" s="530"/>
      <c r="K170" s="530"/>
      <c r="L170" s="529"/>
      <c r="M170" s="529"/>
      <c r="N170" s="529"/>
      <c r="O170" s="529"/>
      <c r="P170" s="529" t="str">
        <f t="shared" si="29"/>
        <v>-</v>
      </c>
      <c r="Q170" s="529" t="str">
        <f t="shared" si="30"/>
        <v>-</v>
      </c>
      <c r="R170" s="529" t="str">
        <f t="shared" si="31"/>
        <v>Kat. 7</v>
      </c>
      <c r="S170" s="529"/>
      <c r="T170" s="529"/>
      <c r="U170" s="529"/>
      <c r="V170" s="529"/>
      <c r="W170" s="529"/>
      <c r="X170" s="529"/>
      <c r="Y170" s="529"/>
      <c r="Z170" s="529"/>
      <c r="AA170" s="529"/>
      <c r="AB170" s="529"/>
      <c r="AC170" s="529"/>
      <c r="AD170" s="529"/>
      <c r="AE170" s="529"/>
      <c r="AF170" s="529"/>
      <c r="AG170" s="529"/>
      <c r="AH170" s="529"/>
      <c r="AI170" s="529"/>
      <c r="AJ170" s="529"/>
      <c r="AK170" s="529"/>
      <c r="AL170" s="529"/>
      <c r="AM170" s="529"/>
      <c r="AN170" s="529"/>
      <c r="AO170" s="529"/>
      <c r="AP170" s="529"/>
      <c r="AQ170" s="529"/>
      <c r="AR170" s="529"/>
    </row>
    <row r="171" spans="1:44" s="89" customFormat="1" x14ac:dyDescent="0.35">
      <c r="D171" s="530"/>
      <c r="E171" s="529"/>
      <c r="F171" s="529"/>
      <c r="G171" s="530"/>
      <c r="H171" s="530"/>
      <c r="I171" s="530"/>
      <c r="J171" s="529"/>
      <c r="K171" s="529"/>
      <c r="L171" s="529"/>
      <c r="M171" s="529"/>
      <c r="N171" s="529"/>
      <c r="O171" s="529"/>
      <c r="P171" s="529"/>
      <c r="Q171" s="529"/>
      <c r="R171" s="529"/>
      <c r="S171" s="529"/>
      <c r="T171" s="529"/>
      <c r="U171" s="529"/>
      <c r="V171" s="529"/>
      <c r="W171" s="529"/>
      <c r="X171" s="529"/>
      <c r="Y171" s="529"/>
      <c r="Z171" s="529"/>
      <c r="AA171" s="529"/>
      <c r="AB171" s="529"/>
      <c r="AC171" s="529"/>
      <c r="AD171" s="529"/>
      <c r="AE171" s="529"/>
      <c r="AF171" s="529"/>
      <c r="AG171" s="529"/>
      <c r="AH171" s="529"/>
      <c r="AI171" s="529"/>
      <c r="AJ171" s="529"/>
      <c r="AK171" s="529"/>
      <c r="AL171" s="529"/>
      <c r="AM171" s="529"/>
      <c r="AN171" s="529"/>
      <c r="AO171" s="529"/>
      <c r="AP171" s="529"/>
      <c r="AQ171" s="529"/>
      <c r="AR171" s="529"/>
    </row>
    <row r="172" spans="1:44" ht="43.5" x14ac:dyDescent="0.35">
      <c r="A172" s="685" t="s">
        <v>129</v>
      </c>
      <c r="B172" s="685"/>
      <c r="C172" s="151" t="s">
        <v>46</v>
      </c>
      <c r="D172" s="151" t="s">
        <v>0</v>
      </c>
      <c r="E172" s="151" t="s">
        <v>1</v>
      </c>
      <c r="F172" s="151" t="s">
        <v>53</v>
      </c>
      <c r="G172" s="151" t="s">
        <v>485</v>
      </c>
      <c r="H172" s="151" t="s">
        <v>486</v>
      </c>
      <c r="I172" s="151" t="s">
        <v>487</v>
      </c>
      <c r="J172" s="151" t="s">
        <v>433</v>
      </c>
      <c r="K172" s="151" t="s">
        <v>483</v>
      </c>
      <c r="L172" s="151" t="s">
        <v>2</v>
      </c>
      <c r="M172" s="151" t="s">
        <v>3</v>
      </c>
      <c r="N172" s="151" t="s">
        <v>4</v>
      </c>
      <c r="O172" s="151" t="s">
        <v>21</v>
      </c>
      <c r="P172" s="151" t="s">
        <v>277</v>
      </c>
      <c r="Q172" s="151" t="s">
        <v>278</v>
      </c>
      <c r="R172" s="151" t="s">
        <v>279</v>
      </c>
      <c r="S172" s="8"/>
    </row>
    <row r="173" spans="1:44" x14ac:dyDescent="0.35">
      <c r="A173"/>
      <c r="B173"/>
      <c r="C173" t="str">
        <f>CONCATENATE(EFs_Externe[[#This Row],[Thema]]," - ",EFs_Externe[[#This Row],[Bezeichnung]])</f>
        <v>Externe - PKW (Durchschnitt)</v>
      </c>
      <c r="D173" s="109" t="str">
        <f t="shared" ref="D173:D197" si="34">"Externe"</f>
        <v>Externe</v>
      </c>
      <c r="E173" s="8" t="s">
        <v>426</v>
      </c>
      <c r="F173" s="8" t="s">
        <v>34</v>
      </c>
      <c r="G173" s="109">
        <v>0</v>
      </c>
      <c r="H173" s="109">
        <v>0</v>
      </c>
      <c r="I173" s="109">
        <v>0.16417570000000001</v>
      </c>
      <c r="J173" s="8">
        <v>0</v>
      </c>
      <c r="K173" s="8">
        <v>1.4</v>
      </c>
      <c r="L173" s="8" t="s">
        <v>125</v>
      </c>
      <c r="M173" s="8" t="s">
        <v>125</v>
      </c>
      <c r="N173" s="153" t="s">
        <v>662</v>
      </c>
      <c r="O173" s="8" t="s">
        <v>690</v>
      </c>
      <c r="P173" s="153" t="str">
        <f t="shared" ref="P173:Q186" si="35">"-"</f>
        <v>-</v>
      </c>
      <c r="Q173" s="153" t="str">
        <f t="shared" si="35"/>
        <v>-</v>
      </c>
      <c r="R173" s="153" t="str">
        <f t="shared" ref="R173:R186" si="36">"Kat. 1"</f>
        <v>Kat. 1</v>
      </c>
      <c r="S173" s="8"/>
    </row>
    <row r="174" spans="1:44" x14ac:dyDescent="0.35">
      <c r="A174"/>
      <c r="B174"/>
      <c r="C174" s="52" t="str">
        <f>CONCATENATE(EFs_Externe[[#This Row],[Thema]]," - ",EFs_Externe[[#This Row],[Bezeichnung]])</f>
        <v>Externe - PKW (Verbrennungsmotor)</v>
      </c>
      <c r="D174" s="109" t="str">
        <f t="shared" si="34"/>
        <v>Externe</v>
      </c>
      <c r="E174" s="8" t="s">
        <v>427</v>
      </c>
      <c r="F174" s="8" t="s">
        <v>34</v>
      </c>
      <c r="G174" s="109">
        <v>0</v>
      </c>
      <c r="H174" s="109">
        <v>0</v>
      </c>
      <c r="I174" s="109">
        <v>0.16970469999999999</v>
      </c>
      <c r="J174" s="8">
        <v>0</v>
      </c>
      <c r="K174" s="8">
        <v>1.4</v>
      </c>
      <c r="L174" s="8"/>
      <c r="M174" s="8"/>
      <c r="N174" s="153" t="s">
        <v>664</v>
      </c>
      <c r="O174" s="8" t="s">
        <v>691</v>
      </c>
      <c r="P174" s="153" t="str">
        <f t="shared" si="35"/>
        <v>-</v>
      </c>
      <c r="Q174" s="153" t="str">
        <f t="shared" si="35"/>
        <v>-</v>
      </c>
      <c r="R174" s="153" t="str">
        <f t="shared" si="36"/>
        <v>Kat. 1</v>
      </c>
      <c r="S174" s="8"/>
    </row>
    <row r="175" spans="1:44" x14ac:dyDescent="0.35">
      <c r="A175"/>
      <c r="B175"/>
      <c r="C175" s="52" t="str">
        <f>CONCATENATE(EFs_Externe[[#This Row],[Thema]]," - ",EFs_Externe[[#This Row],[Bezeichnung]])</f>
        <v>Externe - PKW (elektrisch)</v>
      </c>
      <c r="D175" s="109" t="str">
        <f t="shared" si="34"/>
        <v>Externe</v>
      </c>
      <c r="E175" s="8" t="s">
        <v>428</v>
      </c>
      <c r="F175" s="8" t="s">
        <v>34</v>
      </c>
      <c r="G175" s="109">
        <v>0</v>
      </c>
      <c r="H175" s="109">
        <v>0</v>
      </c>
      <c r="I175" s="109">
        <v>6.9548399999999996E-2</v>
      </c>
      <c r="J175" s="8">
        <v>0</v>
      </c>
      <c r="K175" s="8">
        <v>1.4</v>
      </c>
      <c r="L175" s="8"/>
      <c r="M175" s="8"/>
      <c r="N175" s="153" t="s">
        <v>662</v>
      </c>
      <c r="O175" s="8" t="s">
        <v>692</v>
      </c>
      <c r="P175" s="153" t="str">
        <f t="shared" si="35"/>
        <v>-</v>
      </c>
      <c r="Q175" s="153" t="str">
        <f t="shared" si="35"/>
        <v>-</v>
      </c>
      <c r="R175" s="153" t="str">
        <f t="shared" si="36"/>
        <v>Kat. 1</v>
      </c>
      <c r="S175" s="8"/>
    </row>
    <row r="176" spans="1:44" x14ac:dyDescent="0.35">
      <c r="A176"/>
      <c r="B176"/>
      <c r="C176" t="str">
        <f>CONCATENATE(EFs_Externe[[#This Row],[Thema]]," - ",EFs_Externe[[#This Row],[Bezeichnung]])</f>
        <v>Externe - ÖPNV</v>
      </c>
      <c r="D176" s="109" t="str">
        <f t="shared" si="34"/>
        <v>Externe</v>
      </c>
      <c r="E176" s="8" t="s">
        <v>32</v>
      </c>
      <c r="F176" s="8" t="s">
        <v>34</v>
      </c>
      <c r="G176" s="109">
        <v>0</v>
      </c>
      <c r="H176" s="109">
        <v>0</v>
      </c>
      <c r="I176" s="109">
        <v>5.9676199999999999E-2</v>
      </c>
      <c r="J176" s="8">
        <v>0</v>
      </c>
      <c r="K176" s="109" t="s">
        <v>125</v>
      </c>
      <c r="L176" s="8" t="s">
        <v>125</v>
      </c>
      <c r="M176" s="8" t="s">
        <v>125</v>
      </c>
      <c r="N176" s="8" t="s">
        <v>664</v>
      </c>
      <c r="O176" s="8" t="s">
        <v>704</v>
      </c>
      <c r="P176" s="153" t="str">
        <f t="shared" si="35"/>
        <v>-</v>
      </c>
      <c r="Q176" s="153" t="str">
        <f t="shared" si="35"/>
        <v>-</v>
      </c>
      <c r="R176" s="153" t="str">
        <f t="shared" si="36"/>
        <v>Kat. 1</v>
      </c>
      <c r="S176" s="8"/>
    </row>
    <row r="177" spans="1:44" x14ac:dyDescent="0.35">
      <c r="A177"/>
      <c r="B177"/>
      <c r="C177" t="str">
        <f>CONCATENATE(EFs_Externe[[#This Row],[Thema]]," - ",EFs_Externe[[#This Row],[Bezeichnung]])</f>
        <v>Externe - Reisebus</v>
      </c>
      <c r="D177" s="109" t="str">
        <f t="shared" si="34"/>
        <v>Externe</v>
      </c>
      <c r="E177" s="8" t="s">
        <v>31</v>
      </c>
      <c r="F177" s="8" t="s">
        <v>34</v>
      </c>
      <c r="G177" s="109">
        <v>0</v>
      </c>
      <c r="H177" s="109">
        <v>0</v>
      </c>
      <c r="I177" s="109">
        <v>2.99741E-2</v>
      </c>
      <c r="J177" s="8">
        <v>0</v>
      </c>
      <c r="K177" s="109" t="s">
        <v>125</v>
      </c>
      <c r="L177" s="8" t="s">
        <v>125</v>
      </c>
      <c r="M177" s="8" t="s">
        <v>125</v>
      </c>
      <c r="N177" s="8" t="s">
        <v>662</v>
      </c>
      <c r="O177" s="8" t="s">
        <v>695</v>
      </c>
      <c r="P177" s="153" t="str">
        <f t="shared" si="35"/>
        <v>-</v>
      </c>
      <c r="Q177" s="153" t="str">
        <f t="shared" si="35"/>
        <v>-</v>
      </c>
      <c r="R177" s="153" t="str">
        <f t="shared" si="36"/>
        <v>Kat. 1</v>
      </c>
      <c r="S177" s="8"/>
    </row>
    <row r="178" spans="1:44" x14ac:dyDescent="0.35">
      <c r="A178"/>
      <c r="B178"/>
      <c r="C178" t="str">
        <f>CONCATENATE(EFs_Externe[[#This Row],[Thema]]," - ",EFs_Externe[[#This Row],[Bezeichnung]])</f>
        <v>Externe - Bahn Fernverkehr</v>
      </c>
      <c r="D178" s="109" t="str">
        <f t="shared" si="34"/>
        <v>Externe</v>
      </c>
      <c r="E178" s="8" t="s">
        <v>33</v>
      </c>
      <c r="F178" s="8" t="s">
        <v>34</v>
      </c>
      <c r="G178" s="109">
        <v>0</v>
      </c>
      <c r="H178" s="109">
        <v>0</v>
      </c>
      <c r="I178" s="109">
        <v>2.5660700000000002E-2</v>
      </c>
      <c r="J178" s="8">
        <v>0</v>
      </c>
      <c r="K178" s="109" t="s">
        <v>125</v>
      </c>
      <c r="L178" s="8" t="s">
        <v>125</v>
      </c>
      <c r="M178" s="8" t="s">
        <v>125</v>
      </c>
      <c r="N178" s="8" t="s">
        <v>662</v>
      </c>
      <c r="O178" s="8" t="s">
        <v>696</v>
      </c>
      <c r="P178" s="153" t="str">
        <f t="shared" si="35"/>
        <v>-</v>
      </c>
      <c r="Q178" s="153" t="str">
        <f t="shared" si="35"/>
        <v>-</v>
      </c>
      <c r="R178" s="153" t="str">
        <f t="shared" si="36"/>
        <v>Kat. 1</v>
      </c>
      <c r="S178" s="8"/>
    </row>
    <row r="179" spans="1:44" x14ac:dyDescent="0.35">
      <c r="A179"/>
      <c r="B179"/>
      <c r="C179" t="str">
        <f>CONCATENATE(EFs_Externe[[#This Row],[Thema]]," - ",EFs_Externe[[#This Row],[Bezeichnung]])</f>
        <v>Externe - Flug (Inland) - Durchschnitt</v>
      </c>
      <c r="D179" s="109" t="str">
        <f t="shared" si="34"/>
        <v>Externe</v>
      </c>
      <c r="E179" s="8" t="s">
        <v>474</v>
      </c>
      <c r="F179" s="8" t="s">
        <v>34</v>
      </c>
      <c r="G179" s="109">
        <v>0</v>
      </c>
      <c r="H179" s="109">
        <v>0</v>
      </c>
      <c r="I179" s="109">
        <v>0.16902</v>
      </c>
      <c r="J179" s="8">
        <v>9.3759999999999996E-2</v>
      </c>
      <c r="K179" s="109" t="s">
        <v>125</v>
      </c>
      <c r="L179" s="8" t="s">
        <v>125</v>
      </c>
      <c r="M179" s="8" t="s">
        <v>125</v>
      </c>
      <c r="N179" s="8" t="s">
        <v>697</v>
      </c>
      <c r="O179" s="8" t="s">
        <v>811</v>
      </c>
      <c r="P179" s="153" t="str">
        <f t="shared" si="35"/>
        <v>-</v>
      </c>
      <c r="Q179" s="153" t="str">
        <f t="shared" si="35"/>
        <v>-</v>
      </c>
      <c r="R179" s="153" t="str">
        <f t="shared" si="36"/>
        <v>Kat. 1</v>
      </c>
      <c r="S179" s="8"/>
    </row>
    <row r="180" spans="1:44" x14ac:dyDescent="0.35">
      <c r="A180"/>
      <c r="B180"/>
      <c r="C180" t="str">
        <f>CONCATENATE(EFs_Externe[[#This Row],[Thema]]," - ",EFs_Externe[[#This Row],[Bezeichnung]])</f>
        <v>Externe - Flug (innereuropäisch) - Durchschnitt</v>
      </c>
      <c r="D180" s="109" t="str">
        <f t="shared" si="34"/>
        <v>Externe</v>
      </c>
      <c r="E180" s="8" t="s">
        <v>477</v>
      </c>
      <c r="F180" s="8" t="s">
        <v>34</v>
      </c>
      <c r="G180" s="109">
        <v>0</v>
      </c>
      <c r="H180" s="109">
        <v>0</v>
      </c>
      <c r="I180" s="109">
        <v>9.8449999999999996E-2</v>
      </c>
      <c r="J180" s="8">
        <v>5.2269999999999997E-2</v>
      </c>
      <c r="K180" s="109" t="s">
        <v>125</v>
      </c>
      <c r="L180" s="8" t="s">
        <v>125</v>
      </c>
      <c r="M180" s="8" t="s">
        <v>125</v>
      </c>
      <c r="N180" s="8" t="s">
        <v>697</v>
      </c>
      <c r="O180" s="8" t="s">
        <v>812</v>
      </c>
      <c r="P180" s="153" t="str">
        <f t="shared" si="35"/>
        <v>-</v>
      </c>
      <c r="Q180" s="153" t="str">
        <f t="shared" si="35"/>
        <v>-</v>
      </c>
      <c r="R180" s="153" t="str">
        <f t="shared" si="36"/>
        <v>Kat. 1</v>
      </c>
      <c r="S180" s="8"/>
    </row>
    <row r="181" spans="1:44" ht="18.5" x14ac:dyDescent="0.35">
      <c r="A181" s="454"/>
      <c r="B181" s="454"/>
      <c r="C181" t="str">
        <f>CONCATENATE(EFs_Externe[[#This Row],[Thema]]," - ",EFs_Externe[[#This Row],[Bezeichnung]])</f>
        <v>Externe - Flug (innereuropäisch) - Economy</v>
      </c>
      <c r="D181" s="109" t="str">
        <f t="shared" si="34"/>
        <v>Externe</v>
      </c>
      <c r="E181" s="8" t="s">
        <v>479</v>
      </c>
      <c r="F181" s="8" t="s">
        <v>34</v>
      </c>
      <c r="G181" s="109">
        <v>0</v>
      </c>
      <c r="H181" s="109">
        <v>0</v>
      </c>
      <c r="I181" s="109">
        <v>9.6839999999999996E-2</v>
      </c>
      <c r="J181" s="8">
        <v>5.1409999999999997E-2</v>
      </c>
      <c r="K181" s="109" t="s">
        <v>125</v>
      </c>
      <c r="L181" s="8" t="s">
        <v>125</v>
      </c>
      <c r="M181" s="8" t="s">
        <v>125</v>
      </c>
      <c r="N181" s="8" t="s">
        <v>697</v>
      </c>
      <c r="O181" s="8" t="s">
        <v>813</v>
      </c>
      <c r="P181" s="153" t="str">
        <f t="shared" si="35"/>
        <v>-</v>
      </c>
      <c r="Q181" s="153" t="str">
        <f t="shared" si="35"/>
        <v>-</v>
      </c>
      <c r="R181" s="153" t="str">
        <f t="shared" si="36"/>
        <v>Kat. 1</v>
      </c>
      <c r="S181" s="8"/>
    </row>
    <row r="182" spans="1:44" ht="18.5" x14ac:dyDescent="0.35">
      <c r="A182" s="454"/>
      <c r="B182" s="454"/>
      <c r="C182" t="str">
        <f>CONCATENATE(EFs_Externe[[#This Row],[Thema]]," - ",EFs_Externe[[#This Row],[Bezeichnung]])</f>
        <v>Externe - Flug (innereuropäisch) - Business</v>
      </c>
      <c r="D182" s="109" t="str">
        <f t="shared" si="34"/>
        <v>Externe</v>
      </c>
      <c r="E182" s="8" t="s">
        <v>480</v>
      </c>
      <c r="F182" s="8" t="s">
        <v>34</v>
      </c>
      <c r="G182" s="109">
        <v>0</v>
      </c>
      <c r="H182" s="109">
        <v>0</v>
      </c>
      <c r="I182" s="109">
        <v>0.14524999999999999</v>
      </c>
      <c r="J182" s="8">
        <v>7.7109999999999998E-2</v>
      </c>
      <c r="K182" s="109" t="s">
        <v>125</v>
      </c>
      <c r="L182" s="8" t="s">
        <v>125</v>
      </c>
      <c r="M182" s="8" t="s">
        <v>125</v>
      </c>
      <c r="N182" s="8" t="s">
        <v>697</v>
      </c>
      <c r="O182" s="8" t="s">
        <v>814</v>
      </c>
      <c r="P182" s="153" t="str">
        <f t="shared" si="35"/>
        <v>-</v>
      </c>
      <c r="Q182" s="153" t="str">
        <f t="shared" si="35"/>
        <v>-</v>
      </c>
      <c r="R182" s="153" t="str">
        <f t="shared" si="36"/>
        <v>Kat. 1</v>
      </c>
      <c r="S182" s="8"/>
    </row>
    <row r="183" spans="1:44" x14ac:dyDescent="0.35">
      <c r="A183" s="453"/>
      <c r="B183" s="453"/>
      <c r="C183" t="str">
        <f>CONCATENATE(EFs_Externe[[#This Row],[Thema]]," - ",EFs_Externe[[#This Row],[Bezeichnung]])</f>
        <v>Externe - Flug (international) - Durchschnitt</v>
      </c>
      <c r="D183" s="109" t="str">
        <f t="shared" si="34"/>
        <v>Externe</v>
      </c>
      <c r="E183" s="8" t="s">
        <v>478</v>
      </c>
      <c r="F183" s="8" t="s">
        <v>34</v>
      </c>
      <c r="G183" s="109">
        <v>0</v>
      </c>
      <c r="H183" s="109">
        <v>0</v>
      </c>
      <c r="I183" s="109">
        <v>0.12256</v>
      </c>
      <c r="J183" s="8">
        <v>6.2390000000000001E-2</v>
      </c>
      <c r="K183" s="109" t="s">
        <v>125</v>
      </c>
      <c r="L183" s="8" t="s">
        <v>125</v>
      </c>
      <c r="M183" s="8" t="s">
        <v>125</v>
      </c>
      <c r="N183" s="8" t="s">
        <v>697</v>
      </c>
      <c r="O183" s="8" t="s">
        <v>815</v>
      </c>
      <c r="P183" s="153" t="str">
        <f t="shared" si="35"/>
        <v>-</v>
      </c>
      <c r="Q183" s="153" t="str">
        <f t="shared" si="35"/>
        <v>-</v>
      </c>
      <c r="R183" s="153" t="str">
        <f t="shared" si="36"/>
        <v>Kat. 1</v>
      </c>
      <c r="S183" s="8"/>
    </row>
    <row r="184" spans="1:44" ht="18.5" x14ac:dyDescent="0.35">
      <c r="A184" s="454"/>
      <c r="B184" s="454"/>
      <c r="C184" t="str">
        <f>CONCATENATE(EFs_Externe[[#This Row],[Thema]]," - ",EFs_Externe[[#This Row],[Bezeichnung]])</f>
        <v>Externe - Flug (international) - Economy</v>
      </c>
      <c r="D184" s="109" t="str">
        <f t="shared" si="34"/>
        <v>Externe</v>
      </c>
      <c r="E184" s="8" t="s">
        <v>481</v>
      </c>
      <c r="F184" s="8" t="s">
        <v>34</v>
      </c>
      <c r="G184" s="109">
        <v>0</v>
      </c>
      <c r="H184" s="109">
        <v>0</v>
      </c>
      <c r="I184" s="109">
        <v>9.3869999999999995E-2</v>
      </c>
      <c r="J184" s="8">
        <v>4.7780000000000003E-2</v>
      </c>
      <c r="K184" s="109" t="s">
        <v>125</v>
      </c>
      <c r="L184" s="8" t="s">
        <v>125</v>
      </c>
      <c r="M184" s="8" t="s">
        <v>125</v>
      </c>
      <c r="N184" s="8" t="s">
        <v>697</v>
      </c>
      <c r="O184" s="8" t="s">
        <v>816</v>
      </c>
      <c r="P184" s="153" t="str">
        <f t="shared" si="35"/>
        <v>-</v>
      </c>
      <c r="Q184" s="153" t="str">
        <f t="shared" si="35"/>
        <v>-</v>
      </c>
      <c r="R184" s="153" t="str">
        <f t="shared" si="36"/>
        <v>Kat. 1</v>
      </c>
      <c r="S184" s="8"/>
    </row>
    <row r="185" spans="1:44" ht="18.5" x14ac:dyDescent="0.35">
      <c r="A185" s="454"/>
      <c r="B185" s="454"/>
      <c r="C185" t="str">
        <f>CONCATENATE(EFs_Externe[[#This Row],[Thema]]," - ",EFs_Externe[[#This Row],[Bezeichnung]])</f>
        <v>Externe - Flug (international) - Business</v>
      </c>
      <c r="D185" s="109" t="str">
        <f t="shared" si="34"/>
        <v>Externe</v>
      </c>
      <c r="E185" s="8" t="s">
        <v>482</v>
      </c>
      <c r="F185" s="8" t="s">
        <v>34</v>
      </c>
      <c r="G185" s="109">
        <v>0</v>
      </c>
      <c r="H185" s="109">
        <v>0</v>
      </c>
      <c r="I185" s="109">
        <v>0.2722</v>
      </c>
      <c r="J185" s="8">
        <v>0.13857</v>
      </c>
      <c r="K185" s="109" t="s">
        <v>125</v>
      </c>
      <c r="L185" s="8" t="s">
        <v>125</v>
      </c>
      <c r="M185" s="8" t="s">
        <v>125</v>
      </c>
      <c r="N185" s="8" t="s">
        <v>697</v>
      </c>
      <c r="O185" s="8" t="s">
        <v>817</v>
      </c>
      <c r="P185" s="153" t="str">
        <f t="shared" si="35"/>
        <v>-</v>
      </c>
      <c r="Q185" s="153" t="str">
        <f t="shared" si="35"/>
        <v>-</v>
      </c>
      <c r="R185" s="153" t="str">
        <f t="shared" si="36"/>
        <v>Kat. 1</v>
      </c>
      <c r="S185" s="8"/>
    </row>
    <row r="186" spans="1:44" x14ac:dyDescent="0.35">
      <c r="A186"/>
      <c r="B186"/>
      <c r="C186" t="str">
        <f>CONCATENATE(EFs_Externe[[#This Row],[Thema]]," - ",EFs_Externe[[#This Row],[Bezeichnung]])</f>
        <v>Externe - Hotel (Durchschnitt, Deutschland)</v>
      </c>
      <c r="D186" s="109" t="str">
        <f t="shared" si="34"/>
        <v>Externe</v>
      </c>
      <c r="E186" s="8" t="s">
        <v>109</v>
      </c>
      <c r="F186" s="8" t="s">
        <v>180</v>
      </c>
      <c r="G186" s="109">
        <v>0</v>
      </c>
      <c r="H186" s="109">
        <v>0</v>
      </c>
      <c r="I186" s="109">
        <v>6.5810000000000004</v>
      </c>
      <c r="J186" s="8">
        <v>0</v>
      </c>
      <c r="K186" s="109" t="s">
        <v>125</v>
      </c>
      <c r="L186" s="8" t="s">
        <v>125</v>
      </c>
      <c r="M186" s="8" t="s">
        <v>125</v>
      </c>
      <c r="N186" s="8" t="s">
        <v>698</v>
      </c>
      <c r="O186" s="8" t="s">
        <v>125</v>
      </c>
      <c r="P186" s="153" t="str">
        <f t="shared" si="35"/>
        <v>-</v>
      </c>
      <c r="Q186" s="153" t="str">
        <f t="shared" si="35"/>
        <v>-</v>
      </c>
      <c r="R186" s="153" t="str">
        <f t="shared" si="36"/>
        <v>Kat. 1</v>
      </c>
      <c r="S186" s="8"/>
    </row>
    <row r="187" spans="1:44" s="15" customFormat="1" ht="29" x14ac:dyDescent="0.35">
      <c r="A187"/>
      <c r="B187"/>
      <c r="C187" s="15" t="str">
        <f>CONCATENATE(EFs_Externe[[#This Row],[Thema]]," - ",EFs_Externe[[#This Row],[Bezeichnung]])</f>
        <v>Externe - Übernachtung in Privatwohnung (Durchschnitt, Deutschland)</v>
      </c>
      <c r="D187" s="109" t="str">
        <f t="shared" si="34"/>
        <v>Externe</v>
      </c>
      <c r="E187" s="528" t="s">
        <v>429</v>
      </c>
      <c r="F187" s="153" t="s">
        <v>180</v>
      </c>
      <c r="G187" s="445">
        <v>0</v>
      </c>
      <c r="H187" s="445">
        <v>0</v>
      </c>
      <c r="I187" s="445">
        <v>4.1500000000000004</v>
      </c>
      <c r="J187" s="153">
        <v>0</v>
      </c>
      <c r="K187" s="445" t="s">
        <v>125</v>
      </c>
      <c r="L187" s="153" t="s">
        <v>125</v>
      </c>
      <c r="M187" s="153" t="s">
        <v>125</v>
      </c>
      <c r="N187" s="153" t="s">
        <v>699</v>
      </c>
      <c r="O187" s="153" t="s">
        <v>700</v>
      </c>
      <c r="P187" s="153" t="str">
        <f>"-"</f>
        <v>-</v>
      </c>
      <c r="Q187" s="153" t="str">
        <f>"-"</f>
        <v>-</v>
      </c>
      <c r="R187" s="153" t="str">
        <f>"Kat. 1"</f>
        <v>Kat. 1</v>
      </c>
      <c r="S187" s="153"/>
      <c r="T187" s="153"/>
      <c r="U187" s="153"/>
      <c r="V187" s="153"/>
      <c r="W187" s="153"/>
      <c r="X187" s="153"/>
      <c r="Y187" s="153"/>
      <c r="Z187" s="153"/>
      <c r="AA187" s="153"/>
      <c r="AB187" s="153"/>
      <c r="AC187" s="153"/>
      <c r="AD187" s="153"/>
      <c r="AE187" s="153"/>
      <c r="AF187" s="153"/>
      <c r="AG187" s="153"/>
      <c r="AH187" s="153"/>
      <c r="AI187" s="153"/>
      <c r="AJ187" s="153"/>
      <c r="AK187" s="153"/>
      <c r="AL187" s="153"/>
      <c r="AM187" s="153"/>
      <c r="AN187" s="153"/>
      <c r="AO187" s="153"/>
      <c r="AP187" s="153"/>
      <c r="AQ187" s="153"/>
      <c r="AR187" s="153"/>
    </row>
    <row r="188" spans="1:44" s="89" customFormat="1" x14ac:dyDescent="0.35">
      <c r="A188" s="265" t="str">
        <f>"Eigenfaktor --&gt;"</f>
        <v>Eigenfaktor --&gt;</v>
      </c>
      <c r="B188"/>
      <c r="C188" s="89" t="str">
        <f>CONCATENATE(EFs_Externe[[#This Row],[Thema]]," - ",EFs_Externe[[#This Row],[Bezeichnung]])</f>
        <v xml:space="preserve">Externe - </v>
      </c>
      <c r="D188" s="109" t="str">
        <f t="shared" si="34"/>
        <v>Externe</v>
      </c>
      <c r="E188" s="529"/>
      <c r="F188" s="529"/>
      <c r="G188" s="530"/>
      <c r="H188" s="530"/>
      <c r="I188" s="530"/>
      <c r="J188" s="530"/>
      <c r="K188" s="530"/>
      <c r="L188" s="529"/>
      <c r="M188" s="529"/>
      <c r="N188" s="529"/>
      <c r="O188" s="529"/>
      <c r="P188" s="8" t="str">
        <f t="shared" ref="P188:P197" si="37">"-"</f>
        <v>-</v>
      </c>
      <c r="Q188" s="8" t="str">
        <f t="shared" ref="Q188:Q197" si="38">"-"</f>
        <v>-</v>
      </c>
      <c r="R188" s="8" t="str">
        <f t="shared" ref="R188:R197" si="39">"Kat. 1"</f>
        <v>Kat. 1</v>
      </c>
      <c r="S188" s="529"/>
      <c r="T188" s="8"/>
      <c r="U188" s="8"/>
      <c r="V188" s="8"/>
      <c r="W188" s="8"/>
      <c r="X188" s="8"/>
      <c r="Y188" s="8"/>
      <c r="Z188" s="8"/>
      <c r="AA188" s="8"/>
      <c r="AB188" s="529"/>
      <c r="AC188" s="529"/>
      <c r="AD188" s="529"/>
      <c r="AE188" s="529"/>
      <c r="AF188" s="529"/>
      <c r="AG188" s="529"/>
      <c r="AH188" s="529"/>
      <c r="AI188" s="529"/>
      <c r="AJ188" s="529"/>
      <c r="AK188" s="529"/>
      <c r="AL188" s="529"/>
      <c r="AM188" s="529"/>
      <c r="AN188" s="529"/>
      <c r="AO188" s="529"/>
      <c r="AP188" s="529"/>
      <c r="AQ188" s="529"/>
      <c r="AR188" s="529"/>
    </row>
    <row r="189" spans="1:44" s="89" customFormat="1" x14ac:dyDescent="0.35">
      <c r="A189" s="265" t="str">
        <f t="shared" ref="A189:A193" si="40">"Eigenfaktor --&gt;"</f>
        <v>Eigenfaktor --&gt;</v>
      </c>
      <c r="B189"/>
      <c r="C189" s="89" t="str">
        <f>CONCATENATE(EFs_Externe[[#This Row],[Thema]]," - ",EFs_Externe[[#This Row],[Bezeichnung]])</f>
        <v xml:space="preserve">Externe - </v>
      </c>
      <c r="D189" s="109" t="str">
        <f t="shared" si="34"/>
        <v>Externe</v>
      </c>
      <c r="E189" s="529"/>
      <c r="F189" s="529"/>
      <c r="G189" s="530"/>
      <c r="H189" s="530"/>
      <c r="I189" s="530"/>
      <c r="J189" s="530"/>
      <c r="K189" s="530"/>
      <c r="L189" s="529"/>
      <c r="M189" s="529"/>
      <c r="N189" s="529"/>
      <c r="O189" s="529"/>
      <c r="P189" s="8" t="str">
        <f t="shared" ref="P189:Q193" si="41">"-"</f>
        <v>-</v>
      </c>
      <c r="Q189" s="8" t="str">
        <f t="shared" si="41"/>
        <v>-</v>
      </c>
      <c r="R189" s="8" t="str">
        <f>"Kat. 1"</f>
        <v>Kat. 1</v>
      </c>
      <c r="S189" s="529"/>
      <c r="T189" s="8"/>
      <c r="U189" s="8"/>
      <c r="V189" s="8"/>
      <c r="W189" s="8"/>
      <c r="X189" s="8"/>
      <c r="Y189" s="8"/>
      <c r="Z189" s="8"/>
      <c r="AA189" s="8"/>
      <c r="AB189" s="529"/>
      <c r="AC189" s="529"/>
      <c r="AD189" s="529"/>
      <c r="AE189" s="529"/>
      <c r="AF189" s="529"/>
      <c r="AG189" s="529"/>
      <c r="AH189" s="529"/>
      <c r="AI189" s="529"/>
      <c r="AJ189" s="529"/>
      <c r="AK189" s="529"/>
      <c r="AL189" s="529"/>
      <c r="AM189" s="529"/>
      <c r="AN189" s="529"/>
      <c r="AO189" s="529"/>
      <c r="AP189" s="529"/>
      <c r="AQ189" s="529"/>
      <c r="AR189" s="529"/>
    </row>
    <row r="190" spans="1:44" s="89" customFormat="1" x14ac:dyDescent="0.35">
      <c r="A190" s="265" t="str">
        <f t="shared" si="40"/>
        <v>Eigenfaktor --&gt;</v>
      </c>
      <c r="B190"/>
      <c r="C190" s="89" t="str">
        <f>CONCATENATE(EFs_Externe[[#This Row],[Thema]]," - ",EFs_Externe[[#This Row],[Bezeichnung]])</f>
        <v xml:space="preserve">Externe - </v>
      </c>
      <c r="D190" s="109" t="str">
        <f t="shared" si="34"/>
        <v>Externe</v>
      </c>
      <c r="E190" s="529"/>
      <c r="F190" s="529"/>
      <c r="G190" s="530"/>
      <c r="H190" s="530"/>
      <c r="I190" s="530"/>
      <c r="J190" s="530"/>
      <c r="K190" s="530"/>
      <c r="L190" s="529"/>
      <c r="M190" s="529"/>
      <c r="N190" s="529"/>
      <c r="O190" s="529"/>
      <c r="P190" s="8" t="str">
        <f t="shared" si="41"/>
        <v>-</v>
      </c>
      <c r="Q190" s="8" t="str">
        <f t="shared" si="41"/>
        <v>-</v>
      </c>
      <c r="R190" s="8" t="str">
        <f>"Kat. 1"</f>
        <v>Kat. 1</v>
      </c>
      <c r="S190" s="529"/>
      <c r="T190" s="8"/>
      <c r="U190" s="8"/>
      <c r="V190" s="8"/>
      <c r="W190" s="8"/>
      <c r="X190" s="8"/>
      <c r="Y190" s="8"/>
      <c r="Z190" s="8"/>
      <c r="AA190" s="8"/>
      <c r="AB190" s="529"/>
      <c r="AC190" s="529"/>
      <c r="AD190" s="529"/>
      <c r="AE190" s="529"/>
      <c r="AF190" s="529"/>
      <c r="AG190" s="529"/>
      <c r="AH190" s="529"/>
      <c r="AI190" s="529"/>
      <c r="AJ190" s="529"/>
      <c r="AK190" s="529"/>
      <c r="AL190" s="529"/>
      <c r="AM190" s="529"/>
      <c r="AN190" s="529"/>
      <c r="AO190" s="529"/>
      <c r="AP190" s="529"/>
      <c r="AQ190" s="529"/>
      <c r="AR190" s="529"/>
    </row>
    <row r="191" spans="1:44" s="89" customFormat="1" x14ac:dyDescent="0.35">
      <c r="A191" s="265" t="str">
        <f t="shared" si="40"/>
        <v>Eigenfaktor --&gt;</v>
      </c>
      <c r="B191"/>
      <c r="C191" s="89" t="str">
        <f>CONCATENATE(EFs_Externe[[#This Row],[Thema]]," - ",EFs_Externe[[#This Row],[Bezeichnung]])</f>
        <v xml:space="preserve">Externe - </v>
      </c>
      <c r="D191" s="109" t="str">
        <f t="shared" si="34"/>
        <v>Externe</v>
      </c>
      <c r="E191" s="529"/>
      <c r="F191" s="529"/>
      <c r="G191" s="530"/>
      <c r="H191" s="530"/>
      <c r="I191" s="530"/>
      <c r="J191" s="530"/>
      <c r="K191" s="530"/>
      <c r="L191" s="529"/>
      <c r="M191" s="529"/>
      <c r="N191" s="529"/>
      <c r="O191" s="529"/>
      <c r="P191" s="8" t="str">
        <f t="shared" si="41"/>
        <v>-</v>
      </c>
      <c r="Q191" s="8" t="str">
        <f t="shared" si="41"/>
        <v>-</v>
      </c>
      <c r="R191" s="8" t="str">
        <f>"Kat. 1"</f>
        <v>Kat. 1</v>
      </c>
      <c r="S191" s="529"/>
      <c r="T191" s="8"/>
      <c r="U191" s="8"/>
      <c r="V191" s="8"/>
      <c r="W191" s="8"/>
      <c r="X191" s="8"/>
      <c r="Y191" s="8"/>
      <c r="Z191" s="8"/>
      <c r="AA191" s="8"/>
      <c r="AB191" s="529"/>
      <c r="AC191" s="529"/>
      <c r="AD191" s="529"/>
      <c r="AE191" s="529"/>
      <c r="AF191" s="529"/>
      <c r="AG191" s="529"/>
      <c r="AH191" s="529"/>
      <c r="AI191" s="529"/>
      <c r="AJ191" s="529"/>
      <c r="AK191" s="529"/>
      <c r="AL191" s="529"/>
      <c r="AM191" s="529"/>
      <c r="AN191" s="529"/>
      <c r="AO191" s="529"/>
      <c r="AP191" s="529"/>
      <c r="AQ191" s="529"/>
      <c r="AR191" s="529"/>
    </row>
    <row r="192" spans="1:44" s="89" customFormat="1" x14ac:dyDescent="0.35">
      <c r="A192" s="265" t="str">
        <f t="shared" si="40"/>
        <v>Eigenfaktor --&gt;</v>
      </c>
      <c r="B192"/>
      <c r="C192" s="89" t="str">
        <f>CONCATENATE(EFs_Externe[[#This Row],[Thema]]," - ",EFs_Externe[[#This Row],[Bezeichnung]])</f>
        <v xml:space="preserve">Externe - </v>
      </c>
      <c r="D192" s="109" t="str">
        <f t="shared" si="34"/>
        <v>Externe</v>
      </c>
      <c r="E192" s="529"/>
      <c r="F192" s="529"/>
      <c r="G192" s="530"/>
      <c r="H192" s="530"/>
      <c r="I192" s="530"/>
      <c r="J192" s="530"/>
      <c r="K192" s="530"/>
      <c r="L192" s="529"/>
      <c r="M192" s="529"/>
      <c r="N192" s="529"/>
      <c r="O192" s="529"/>
      <c r="P192" s="8" t="str">
        <f t="shared" si="41"/>
        <v>-</v>
      </c>
      <c r="Q192" s="8" t="str">
        <f t="shared" si="41"/>
        <v>-</v>
      </c>
      <c r="R192" s="8" t="str">
        <f>"Kat. 1"</f>
        <v>Kat. 1</v>
      </c>
      <c r="S192" s="529"/>
      <c r="T192" s="8"/>
      <c r="U192" s="8"/>
      <c r="V192" s="8"/>
      <c r="W192" s="8"/>
      <c r="X192" s="8"/>
      <c r="Y192" s="8"/>
      <c r="Z192" s="8"/>
      <c r="AA192" s="8"/>
      <c r="AB192" s="529"/>
      <c r="AC192" s="529"/>
      <c r="AD192" s="529"/>
      <c r="AE192" s="529"/>
      <c r="AF192" s="529"/>
      <c r="AG192" s="529"/>
      <c r="AH192" s="529"/>
      <c r="AI192" s="529"/>
      <c r="AJ192" s="529"/>
      <c r="AK192" s="529"/>
      <c r="AL192" s="529"/>
      <c r="AM192" s="529"/>
      <c r="AN192" s="529"/>
      <c r="AO192" s="529"/>
      <c r="AP192" s="529"/>
      <c r="AQ192" s="529"/>
      <c r="AR192" s="529"/>
    </row>
    <row r="193" spans="1:44" s="89" customFormat="1" x14ac:dyDescent="0.35">
      <c r="A193" s="265" t="str">
        <f t="shared" si="40"/>
        <v>Eigenfaktor --&gt;</v>
      </c>
      <c r="B193"/>
      <c r="C193" s="89" t="str">
        <f>CONCATENATE(EFs_Externe[[#This Row],[Thema]]," - ",EFs_Externe[[#This Row],[Bezeichnung]])</f>
        <v xml:space="preserve">Externe - </v>
      </c>
      <c r="D193" s="109" t="str">
        <f t="shared" si="34"/>
        <v>Externe</v>
      </c>
      <c r="E193" s="529"/>
      <c r="F193" s="529"/>
      <c r="G193" s="530"/>
      <c r="H193" s="530"/>
      <c r="I193" s="530"/>
      <c r="J193" s="530"/>
      <c r="K193" s="530"/>
      <c r="L193" s="529"/>
      <c r="M193" s="529"/>
      <c r="N193" s="529"/>
      <c r="O193" s="529"/>
      <c r="P193" s="8" t="str">
        <f t="shared" si="41"/>
        <v>-</v>
      </c>
      <c r="Q193" s="8" t="str">
        <f t="shared" si="41"/>
        <v>-</v>
      </c>
      <c r="R193" s="8" t="str">
        <f>"Kat. 1"</f>
        <v>Kat. 1</v>
      </c>
      <c r="S193" s="529"/>
      <c r="T193" s="8"/>
      <c r="U193" s="8"/>
      <c r="V193" s="8"/>
      <c r="W193" s="8"/>
      <c r="X193" s="8"/>
      <c r="Y193" s="8"/>
      <c r="Z193" s="8"/>
      <c r="AA193" s="8"/>
      <c r="AB193" s="529"/>
      <c r="AC193" s="529"/>
      <c r="AD193" s="529"/>
      <c r="AE193" s="529"/>
      <c r="AF193" s="529"/>
      <c r="AG193" s="529"/>
      <c r="AH193" s="529"/>
      <c r="AI193" s="529"/>
      <c r="AJ193" s="529"/>
      <c r="AK193" s="529"/>
      <c r="AL193" s="529"/>
      <c r="AM193" s="529"/>
      <c r="AN193" s="529"/>
      <c r="AO193" s="529"/>
      <c r="AP193" s="529"/>
      <c r="AQ193" s="529"/>
      <c r="AR193" s="529"/>
    </row>
    <row r="194" spans="1:44" s="89" customFormat="1" x14ac:dyDescent="0.35">
      <c r="A194" s="265" t="str">
        <f t="shared" ref="A194:A197" si="42">"Eigenfaktor --&gt;"</f>
        <v>Eigenfaktor --&gt;</v>
      </c>
      <c r="B194"/>
      <c r="C194" s="89" t="str">
        <f>CONCATENATE(EFs_Externe[[#This Row],[Thema]]," - ",EFs_Externe[[#This Row],[Bezeichnung]])</f>
        <v xml:space="preserve">Externe - </v>
      </c>
      <c r="D194" s="109" t="str">
        <f t="shared" si="34"/>
        <v>Externe</v>
      </c>
      <c r="E194" s="529"/>
      <c r="F194" s="529"/>
      <c r="G194" s="530"/>
      <c r="H194" s="530"/>
      <c r="I194" s="530"/>
      <c r="J194" s="530"/>
      <c r="K194" s="530"/>
      <c r="L194" s="529"/>
      <c r="M194" s="529"/>
      <c r="N194" s="529"/>
      <c r="O194" s="529"/>
      <c r="P194" s="8" t="str">
        <f t="shared" si="37"/>
        <v>-</v>
      </c>
      <c r="Q194" s="8" t="str">
        <f t="shared" si="38"/>
        <v>-</v>
      </c>
      <c r="R194" s="8" t="str">
        <f t="shared" si="39"/>
        <v>Kat. 1</v>
      </c>
      <c r="S194" s="529"/>
      <c r="T194" s="8"/>
      <c r="U194" s="8"/>
      <c r="V194" s="8"/>
      <c r="W194" s="8"/>
      <c r="X194" s="8"/>
      <c r="Y194" s="8"/>
      <c r="Z194" s="8"/>
      <c r="AA194" s="8"/>
      <c r="AB194" s="529"/>
      <c r="AC194" s="529"/>
      <c r="AD194" s="529"/>
      <c r="AE194" s="529"/>
      <c r="AF194" s="529"/>
      <c r="AG194" s="529"/>
      <c r="AH194" s="529"/>
      <c r="AI194" s="529"/>
      <c r="AJ194" s="529"/>
      <c r="AK194" s="529"/>
      <c r="AL194" s="529"/>
      <c r="AM194" s="529"/>
      <c r="AN194" s="529"/>
      <c r="AO194" s="529"/>
      <c r="AP194" s="529"/>
      <c r="AQ194" s="529"/>
      <c r="AR194" s="529"/>
    </row>
    <row r="195" spans="1:44" s="89" customFormat="1" x14ac:dyDescent="0.35">
      <c r="A195" s="265" t="str">
        <f t="shared" si="42"/>
        <v>Eigenfaktor --&gt;</v>
      </c>
      <c r="B195"/>
      <c r="C195" s="89" t="str">
        <f>CONCATENATE(EFs_Externe[[#This Row],[Thema]]," - ",EFs_Externe[[#This Row],[Bezeichnung]])</f>
        <v xml:space="preserve">Externe - </v>
      </c>
      <c r="D195" s="109" t="str">
        <f t="shared" si="34"/>
        <v>Externe</v>
      </c>
      <c r="E195" s="529"/>
      <c r="F195" s="529"/>
      <c r="G195" s="530"/>
      <c r="H195" s="530"/>
      <c r="I195" s="530"/>
      <c r="J195" s="530"/>
      <c r="K195" s="530"/>
      <c r="L195" s="529"/>
      <c r="M195" s="529"/>
      <c r="N195" s="529"/>
      <c r="O195" s="529"/>
      <c r="P195" s="8" t="str">
        <f t="shared" si="37"/>
        <v>-</v>
      </c>
      <c r="Q195" s="8" t="str">
        <f t="shared" si="38"/>
        <v>-</v>
      </c>
      <c r="R195" s="8" t="str">
        <f t="shared" si="39"/>
        <v>Kat. 1</v>
      </c>
      <c r="S195" s="529"/>
      <c r="T195" s="8"/>
      <c r="U195" s="8"/>
      <c r="V195" s="8"/>
      <c r="W195" s="8"/>
      <c r="X195" s="8"/>
      <c r="Y195" s="8"/>
      <c r="Z195" s="8"/>
      <c r="AA195" s="8"/>
      <c r="AB195" s="529"/>
      <c r="AC195" s="529"/>
      <c r="AD195" s="529"/>
      <c r="AE195" s="529"/>
      <c r="AF195" s="529"/>
      <c r="AG195" s="529"/>
      <c r="AH195" s="529"/>
      <c r="AI195" s="529"/>
      <c r="AJ195" s="529"/>
      <c r="AK195" s="529"/>
      <c r="AL195" s="529"/>
      <c r="AM195" s="529"/>
      <c r="AN195" s="529"/>
      <c r="AO195" s="529"/>
      <c r="AP195" s="529"/>
      <c r="AQ195" s="529"/>
      <c r="AR195" s="529"/>
    </row>
    <row r="196" spans="1:44" s="89" customFormat="1" x14ac:dyDescent="0.35">
      <c r="A196" s="357" t="str">
        <f t="shared" si="42"/>
        <v>Eigenfaktor --&gt;</v>
      </c>
      <c r="C196" s="89" t="str">
        <f>CONCATENATE(EFs_Externe[[#This Row],[Thema]]," - ",EFs_Externe[[#This Row],[Bezeichnung]])</f>
        <v xml:space="preserve">Externe - </v>
      </c>
      <c r="D196" s="530" t="str">
        <f t="shared" si="34"/>
        <v>Externe</v>
      </c>
      <c r="E196" s="529"/>
      <c r="F196" s="529"/>
      <c r="G196" s="530"/>
      <c r="H196" s="530"/>
      <c r="I196" s="530"/>
      <c r="J196" s="530"/>
      <c r="K196" s="530"/>
      <c r="L196" s="529"/>
      <c r="M196" s="529"/>
      <c r="N196" s="529"/>
      <c r="O196" s="529"/>
      <c r="P196" s="529" t="str">
        <f t="shared" si="37"/>
        <v>-</v>
      </c>
      <c r="Q196" s="529" t="str">
        <f t="shared" si="38"/>
        <v>-</v>
      </c>
      <c r="R196" s="529" t="str">
        <f t="shared" si="39"/>
        <v>Kat. 1</v>
      </c>
      <c r="S196" s="529"/>
      <c r="T196" s="529"/>
      <c r="U196" s="529"/>
      <c r="V196" s="529"/>
      <c r="W196" s="529"/>
      <c r="X196" s="529"/>
      <c r="Y196" s="529"/>
      <c r="Z196" s="529"/>
      <c r="AA196" s="529"/>
      <c r="AB196" s="529"/>
      <c r="AC196" s="529"/>
      <c r="AD196" s="529"/>
      <c r="AE196" s="529"/>
      <c r="AF196" s="529"/>
      <c r="AG196" s="529"/>
      <c r="AH196" s="529"/>
      <c r="AI196" s="529"/>
      <c r="AJ196" s="529"/>
      <c r="AK196" s="529"/>
      <c r="AL196" s="529"/>
      <c r="AM196" s="529"/>
      <c r="AN196" s="529"/>
      <c r="AO196" s="529"/>
      <c r="AP196" s="529"/>
      <c r="AQ196" s="529"/>
      <c r="AR196" s="529"/>
    </row>
    <row r="197" spans="1:44" s="89" customFormat="1" x14ac:dyDescent="0.35">
      <c r="A197" s="357" t="str">
        <f t="shared" si="42"/>
        <v>Eigenfaktor --&gt;</v>
      </c>
      <c r="C197" s="89" t="str">
        <f>CONCATENATE(EFs_Externe[[#This Row],[Thema]]," - ",EFs_Externe[[#This Row],[Bezeichnung]])</f>
        <v xml:space="preserve">Externe - </v>
      </c>
      <c r="D197" s="530" t="str">
        <f t="shared" si="34"/>
        <v>Externe</v>
      </c>
      <c r="E197" s="529"/>
      <c r="F197" s="529"/>
      <c r="G197" s="530"/>
      <c r="H197" s="530"/>
      <c r="I197" s="530"/>
      <c r="J197" s="530"/>
      <c r="K197" s="530"/>
      <c r="L197" s="529"/>
      <c r="M197" s="529"/>
      <c r="N197" s="529"/>
      <c r="O197" s="529"/>
      <c r="P197" s="529" t="str">
        <f t="shared" si="37"/>
        <v>-</v>
      </c>
      <c r="Q197" s="529" t="str">
        <f t="shared" si="38"/>
        <v>-</v>
      </c>
      <c r="R197" s="529" t="str">
        <f t="shared" si="39"/>
        <v>Kat. 1</v>
      </c>
      <c r="S197" s="529"/>
      <c r="T197" s="529"/>
      <c r="U197" s="529"/>
      <c r="V197" s="529"/>
      <c r="W197" s="529"/>
      <c r="X197" s="529"/>
      <c r="Y197" s="529"/>
      <c r="Z197" s="529"/>
      <c r="AA197" s="529"/>
      <c r="AB197" s="529"/>
      <c r="AC197" s="529"/>
      <c r="AD197" s="529"/>
      <c r="AE197" s="529"/>
      <c r="AF197" s="529"/>
      <c r="AG197" s="529"/>
      <c r="AH197" s="529"/>
      <c r="AI197" s="529"/>
      <c r="AJ197" s="529"/>
      <c r="AK197" s="529"/>
      <c r="AL197" s="529"/>
      <c r="AM197" s="529"/>
      <c r="AN197" s="529"/>
      <c r="AO197" s="529"/>
      <c r="AP197" s="529"/>
      <c r="AQ197" s="529"/>
      <c r="AR197" s="529"/>
    </row>
    <row r="198" spans="1:44" s="89" customFormat="1" x14ac:dyDescent="0.35">
      <c r="D198" s="530"/>
      <c r="E198" s="529"/>
      <c r="F198" s="529"/>
      <c r="G198" s="530"/>
      <c r="H198" s="530"/>
      <c r="I198" s="530"/>
      <c r="J198" s="529"/>
      <c r="K198" s="529"/>
      <c r="L198" s="529"/>
      <c r="M198" s="529"/>
      <c r="N198" s="529"/>
      <c r="O198" s="529"/>
      <c r="P198" s="529"/>
      <c r="Q198" s="529"/>
      <c r="R198" s="529"/>
      <c r="S198" s="529"/>
      <c r="T198" s="529"/>
      <c r="U198" s="529"/>
      <c r="V198" s="529"/>
      <c r="W198" s="529"/>
      <c r="X198" s="529"/>
      <c r="Y198" s="529"/>
      <c r="Z198" s="529"/>
      <c r="AA198" s="529"/>
      <c r="AB198" s="529"/>
      <c r="AC198" s="529"/>
      <c r="AD198" s="529"/>
      <c r="AE198" s="529"/>
      <c r="AF198" s="529"/>
      <c r="AG198" s="529"/>
      <c r="AH198" s="529"/>
      <c r="AI198" s="529"/>
      <c r="AJ198" s="529"/>
      <c r="AK198" s="529"/>
      <c r="AL198" s="529"/>
      <c r="AM198" s="529"/>
      <c r="AN198" s="529"/>
      <c r="AO198" s="529"/>
      <c r="AP198" s="529"/>
      <c r="AQ198" s="529"/>
      <c r="AR198" s="529"/>
    </row>
    <row r="199" spans="1:44" ht="30" customHeight="1" x14ac:dyDescent="0.35">
      <c r="A199" s="685" t="s">
        <v>331</v>
      </c>
      <c r="B199" s="685"/>
      <c r="C199" s="151" t="s">
        <v>46</v>
      </c>
      <c r="D199" s="151" t="s">
        <v>0</v>
      </c>
      <c r="E199" s="151" t="s">
        <v>1</v>
      </c>
      <c r="F199" s="151" t="s">
        <v>53</v>
      </c>
      <c r="G199" s="151" t="s">
        <v>485</v>
      </c>
      <c r="H199" s="151" t="s">
        <v>486</v>
      </c>
      <c r="I199" s="151" t="s">
        <v>487</v>
      </c>
      <c r="J199" s="151" t="s">
        <v>433</v>
      </c>
      <c r="K199" s="151" t="s">
        <v>2</v>
      </c>
      <c r="L199" s="151" t="s">
        <v>3</v>
      </c>
      <c r="M199" s="151" t="s">
        <v>4</v>
      </c>
      <c r="N199" s="151" t="s">
        <v>21</v>
      </c>
      <c r="O199" s="151" t="s">
        <v>277</v>
      </c>
      <c r="P199" s="151" t="s">
        <v>278</v>
      </c>
      <c r="Q199" s="151" t="s">
        <v>279</v>
      </c>
      <c r="R199" s="8"/>
      <c r="S199" s="8"/>
    </row>
    <row r="200" spans="1:44" x14ac:dyDescent="0.35">
      <c r="A200" s="685"/>
      <c r="B200" s="685"/>
      <c r="C200" t="str">
        <f>CONCATENATE(EFs_Warentransporte[[#This Row],[Thema]]," - ",EFs_Warentransporte[[#This Row],[Bezeichnung]])</f>
        <v>Warentransporte - Straße: LKW Durchschnitt</v>
      </c>
      <c r="D200" s="109" t="str">
        <f t="shared" ref="D200:D224" si="43">"Warentransporte"</f>
        <v>Warentransporte</v>
      </c>
      <c r="E200" s="8" t="s">
        <v>363</v>
      </c>
      <c r="F200" s="8" t="s">
        <v>35</v>
      </c>
      <c r="G200" s="109">
        <v>0</v>
      </c>
      <c r="H200" s="109">
        <v>0</v>
      </c>
      <c r="I200" s="109">
        <v>0.121</v>
      </c>
      <c r="J200" s="8">
        <v>0</v>
      </c>
      <c r="K200" s="8">
        <v>0</v>
      </c>
      <c r="L200" s="8">
        <v>0</v>
      </c>
      <c r="M200" s="8" t="s">
        <v>662</v>
      </c>
      <c r="N200" s="8" t="s">
        <v>706</v>
      </c>
      <c r="O200" s="8" t="str">
        <f t="shared" ref="O200:P213" si="44">"-"</f>
        <v>-</v>
      </c>
      <c r="P200" s="8" t="str">
        <f t="shared" si="44"/>
        <v>-</v>
      </c>
      <c r="Q200" s="8" t="str">
        <f t="shared" ref="Q200:Q213" si="45">"Kat. 4"</f>
        <v>Kat. 4</v>
      </c>
      <c r="R200" s="8"/>
      <c r="S200" s="8"/>
    </row>
    <row r="201" spans="1:44" ht="18.5" x14ac:dyDescent="0.35">
      <c r="A201" s="299"/>
      <c r="B201" s="299"/>
      <c r="C201" t="str">
        <f>CONCATENATE(EFs_Warentransporte[[#This Row],[Thema]]," - ",EFs_Warentransporte[[#This Row],[Bezeichnung]])</f>
        <v>Warentransporte - Straße: LKW &lt;7,5 t</v>
      </c>
      <c r="D201" s="109" t="str">
        <f>"Warentransporte"</f>
        <v>Warentransporte</v>
      </c>
      <c r="E201" s="8" t="s">
        <v>54</v>
      </c>
      <c r="F201" s="8" t="s">
        <v>35</v>
      </c>
      <c r="G201" s="109">
        <v>0</v>
      </c>
      <c r="H201" s="109">
        <v>0</v>
      </c>
      <c r="I201" s="109">
        <v>0.56899999999999995</v>
      </c>
      <c r="J201" s="8">
        <v>0</v>
      </c>
      <c r="K201" s="8" t="s">
        <v>125</v>
      </c>
      <c r="L201" s="8" t="s">
        <v>125</v>
      </c>
      <c r="M201" s="8" t="s">
        <v>662</v>
      </c>
      <c r="N201" s="8" t="s">
        <v>707</v>
      </c>
      <c r="O201" s="8" t="str">
        <f t="shared" si="44"/>
        <v>-</v>
      </c>
      <c r="P201" s="8" t="str">
        <f t="shared" si="44"/>
        <v>-</v>
      </c>
      <c r="Q201" s="8" t="str">
        <f t="shared" si="45"/>
        <v>Kat. 4</v>
      </c>
      <c r="R201" s="8"/>
      <c r="S201" s="8"/>
    </row>
    <row r="202" spans="1:44" x14ac:dyDescent="0.35">
      <c r="A202"/>
      <c r="B202"/>
      <c r="C202" t="str">
        <f>CONCATENATE(EFs_Warentransporte[[#This Row],[Thema]]," - ",EFs_Warentransporte[[#This Row],[Bezeichnung]])</f>
        <v>Warentransporte - Straße: LKW 7,5-12 t</v>
      </c>
      <c r="D202" s="109" t="str">
        <f t="shared" si="43"/>
        <v>Warentransporte</v>
      </c>
      <c r="E202" s="8" t="s">
        <v>61</v>
      </c>
      <c r="F202" s="8" t="s">
        <v>35</v>
      </c>
      <c r="G202" s="109">
        <v>0</v>
      </c>
      <c r="H202" s="109">
        <v>0</v>
      </c>
      <c r="I202" s="109">
        <v>0.39800000000000002</v>
      </c>
      <c r="J202" s="8">
        <v>0</v>
      </c>
      <c r="K202" s="8" t="s">
        <v>125</v>
      </c>
      <c r="L202" s="8" t="s">
        <v>125</v>
      </c>
      <c r="M202" s="8" t="s">
        <v>662</v>
      </c>
      <c r="N202" s="8" t="s">
        <v>708</v>
      </c>
      <c r="O202" s="8" t="str">
        <f t="shared" si="44"/>
        <v>-</v>
      </c>
      <c r="P202" s="8" t="str">
        <f t="shared" si="44"/>
        <v>-</v>
      </c>
      <c r="Q202" s="8" t="str">
        <f t="shared" si="45"/>
        <v>Kat. 4</v>
      </c>
      <c r="R202" s="8"/>
      <c r="S202" s="8"/>
    </row>
    <row r="203" spans="1:44" x14ac:dyDescent="0.35">
      <c r="A203"/>
      <c r="B203"/>
      <c r="C203" t="str">
        <f>CONCATENATE(EFs_Warentransporte[[#This Row],[Thema]]," - ",EFs_Warentransporte[[#This Row],[Bezeichnung]])</f>
        <v>Warentransporte - Straße: LKW 12-24 t</v>
      </c>
      <c r="D203" s="109" t="str">
        <f t="shared" si="43"/>
        <v>Warentransporte</v>
      </c>
      <c r="E203" s="8" t="s">
        <v>62</v>
      </c>
      <c r="F203" s="8" t="s">
        <v>35</v>
      </c>
      <c r="G203" s="109">
        <v>0</v>
      </c>
      <c r="H203" s="109">
        <v>0</v>
      </c>
      <c r="I203" s="109">
        <v>0.253</v>
      </c>
      <c r="J203" s="8">
        <v>0</v>
      </c>
      <c r="K203" s="8" t="s">
        <v>125</v>
      </c>
      <c r="L203" s="8" t="s">
        <v>125</v>
      </c>
      <c r="M203" s="8" t="s">
        <v>662</v>
      </c>
      <c r="N203" s="8" t="s">
        <v>709</v>
      </c>
      <c r="O203" s="8" t="str">
        <f t="shared" si="44"/>
        <v>-</v>
      </c>
      <c r="P203" s="8" t="str">
        <f t="shared" si="44"/>
        <v>-</v>
      </c>
      <c r="Q203" s="8" t="str">
        <f t="shared" si="45"/>
        <v>Kat. 4</v>
      </c>
      <c r="R203" s="8"/>
      <c r="S203" s="8"/>
    </row>
    <row r="204" spans="1:44" x14ac:dyDescent="0.35">
      <c r="A204"/>
      <c r="B204"/>
      <c r="C204" t="str">
        <f>CONCATENATE(EFs_Warentransporte[[#This Row],[Thema]]," - ",EFs_Warentransporte[[#This Row],[Bezeichnung]])</f>
        <v>Warentransporte - Straße: Last-/Sattelzug 24-40 t</v>
      </c>
      <c r="D204" s="109" t="str">
        <f t="shared" si="43"/>
        <v>Warentransporte</v>
      </c>
      <c r="E204" s="8" t="s">
        <v>289</v>
      </c>
      <c r="F204" s="8" t="s">
        <v>35</v>
      </c>
      <c r="G204" s="109">
        <v>0</v>
      </c>
      <c r="H204" s="109">
        <v>0</v>
      </c>
      <c r="I204" s="109">
        <v>0.10299999999999999</v>
      </c>
      <c r="J204" s="8">
        <v>0</v>
      </c>
      <c r="K204" s="8" t="s">
        <v>125</v>
      </c>
      <c r="L204" s="8" t="s">
        <v>125</v>
      </c>
      <c r="M204" s="8" t="s">
        <v>662</v>
      </c>
      <c r="N204" s="8" t="s">
        <v>710</v>
      </c>
      <c r="O204" s="8" t="str">
        <f t="shared" si="44"/>
        <v>-</v>
      </c>
      <c r="P204" s="8" t="str">
        <f t="shared" si="44"/>
        <v>-</v>
      </c>
      <c r="Q204" s="8" t="str">
        <f t="shared" si="45"/>
        <v>Kat. 4</v>
      </c>
      <c r="R204" s="8"/>
      <c r="S204" s="8"/>
    </row>
    <row r="205" spans="1:44" x14ac:dyDescent="0.35">
      <c r="A205"/>
      <c r="B205"/>
      <c r="C205" t="str">
        <f>CONCATENATE(EFs_Warentransporte[[#This Row],[Thema]]," - ",EFs_Warentransporte[[#This Row],[Bezeichnung]])</f>
        <v>Warentransporte - Schiene: Zug Durchschnitt</v>
      </c>
      <c r="D205" s="109" t="str">
        <f>"Warentransporte"</f>
        <v>Warentransporte</v>
      </c>
      <c r="E205" s="8" t="s">
        <v>364</v>
      </c>
      <c r="F205" s="8" t="s">
        <v>35</v>
      </c>
      <c r="G205" s="109">
        <v>0</v>
      </c>
      <c r="H205" s="109">
        <v>0</v>
      </c>
      <c r="I205" s="109">
        <v>1.6E-2</v>
      </c>
      <c r="J205" s="8">
        <v>0</v>
      </c>
      <c r="K205" s="8" t="s">
        <v>125</v>
      </c>
      <c r="L205" s="8" t="s">
        <v>125</v>
      </c>
      <c r="M205" s="8" t="s">
        <v>662</v>
      </c>
      <c r="N205" s="8" t="s">
        <v>711</v>
      </c>
      <c r="O205" s="8" t="str">
        <f t="shared" si="44"/>
        <v>-</v>
      </c>
      <c r="P205" s="8" t="str">
        <f t="shared" si="44"/>
        <v>-</v>
      </c>
      <c r="Q205" s="8" t="str">
        <f t="shared" si="45"/>
        <v>Kat. 4</v>
      </c>
      <c r="R205" s="8"/>
      <c r="S205" s="8"/>
    </row>
    <row r="206" spans="1:44" x14ac:dyDescent="0.35">
      <c r="A206"/>
      <c r="B206"/>
      <c r="C206" t="str">
        <f>CONCATENATE(EFs_Warentransporte[[#This Row],[Thema]]," - ",EFs_Warentransporte[[#This Row],[Bezeichnung]])</f>
        <v>Warentransporte - Schiene: Zug mit Elektrotraktion</v>
      </c>
      <c r="D206" s="109" t="str">
        <f t="shared" si="43"/>
        <v>Warentransporte</v>
      </c>
      <c r="E206" s="8" t="s">
        <v>55</v>
      </c>
      <c r="F206" s="8" t="s">
        <v>35</v>
      </c>
      <c r="G206" s="109">
        <v>0</v>
      </c>
      <c r="H206" s="109">
        <v>0</v>
      </c>
      <c r="I206" s="109">
        <v>1.4999999999999999E-2</v>
      </c>
      <c r="J206" s="8">
        <v>0</v>
      </c>
      <c r="K206" s="8" t="s">
        <v>125</v>
      </c>
      <c r="L206" s="8" t="s">
        <v>125</v>
      </c>
      <c r="M206" s="8" t="s">
        <v>662</v>
      </c>
      <c r="N206" s="8" t="s">
        <v>712</v>
      </c>
      <c r="O206" s="8" t="str">
        <f t="shared" si="44"/>
        <v>-</v>
      </c>
      <c r="P206" s="8" t="str">
        <f t="shared" si="44"/>
        <v>-</v>
      </c>
      <c r="Q206" s="8" t="str">
        <f t="shared" si="45"/>
        <v>Kat. 4</v>
      </c>
      <c r="R206" s="8"/>
      <c r="S206" s="8"/>
    </row>
    <row r="207" spans="1:44" x14ac:dyDescent="0.35">
      <c r="A207"/>
      <c r="B207"/>
      <c r="C207" t="str">
        <f>CONCATENATE(EFs_Warentransporte[[#This Row],[Thema]]," - ",EFs_Warentransporte[[#This Row],[Bezeichnung]])</f>
        <v>Warentransporte - Schiene: Zug mit Dieseltraktion</v>
      </c>
      <c r="D207" s="109" t="str">
        <f t="shared" si="43"/>
        <v>Warentransporte</v>
      </c>
      <c r="E207" s="8" t="s">
        <v>56</v>
      </c>
      <c r="F207" s="8" t="s">
        <v>35</v>
      </c>
      <c r="G207" s="109">
        <v>0</v>
      </c>
      <c r="H207" s="109">
        <v>0</v>
      </c>
      <c r="I207" s="109">
        <v>2.8000000000000001E-2</v>
      </c>
      <c r="J207" s="8">
        <v>0</v>
      </c>
      <c r="K207" s="8" t="s">
        <v>125</v>
      </c>
      <c r="L207" s="8" t="s">
        <v>125</v>
      </c>
      <c r="M207" s="8" t="s">
        <v>662</v>
      </c>
      <c r="N207" s="8" t="s">
        <v>713</v>
      </c>
      <c r="O207" s="8" t="str">
        <f t="shared" si="44"/>
        <v>-</v>
      </c>
      <c r="P207" s="8" t="str">
        <f t="shared" si="44"/>
        <v>-</v>
      </c>
      <c r="Q207" s="8" t="str">
        <f t="shared" si="45"/>
        <v>Kat. 4</v>
      </c>
      <c r="R207" s="8"/>
      <c r="S207" s="8"/>
    </row>
    <row r="208" spans="1:44" x14ac:dyDescent="0.35">
      <c r="A208"/>
      <c r="B208"/>
      <c r="C208" t="str">
        <f>CONCATENATE(EFs_Warentransporte[[#This Row],[Thema]]," - ",EFs_Warentransporte[[#This Row],[Bezeichnung]])</f>
        <v>Warentransporte - See: Containerschiff</v>
      </c>
      <c r="D208" s="109" t="str">
        <f t="shared" si="43"/>
        <v>Warentransporte</v>
      </c>
      <c r="E208" s="8" t="s">
        <v>57</v>
      </c>
      <c r="F208" s="8" t="s">
        <v>35</v>
      </c>
      <c r="G208" s="109">
        <v>0</v>
      </c>
      <c r="H208" s="109">
        <v>0</v>
      </c>
      <c r="I208" s="109">
        <v>1.7000000000000001E-2</v>
      </c>
      <c r="J208" s="8">
        <v>0</v>
      </c>
      <c r="K208" s="8" t="s">
        <v>125</v>
      </c>
      <c r="L208" s="8" t="s">
        <v>125</v>
      </c>
      <c r="M208" s="8" t="s">
        <v>705</v>
      </c>
      <c r="N208" s="8" t="s">
        <v>125</v>
      </c>
      <c r="O208" s="8" t="str">
        <f t="shared" si="44"/>
        <v>-</v>
      </c>
      <c r="P208" s="8" t="str">
        <f t="shared" si="44"/>
        <v>-</v>
      </c>
      <c r="Q208" s="8" t="str">
        <f t="shared" si="45"/>
        <v>Kat. 4</v>
      </c>
      <c r="R208" s="8"/>
      <c r="S208" s="8"/>
    </row>
    <row r="209" spans="1:44" x14ac:dyDescent="0.35">
      <c r="A209"/>
      <c r="B209"/>
      <c r="C209" t="str">
        <f>CONCATENATE(EFs_Warentransporte[[#This Row],[Thema]]," - ",EFs_Warentransporte[[#This Row],[Bezeichnung]])</f>
        <v>Warentransporte - See: Massengutfrachter</v>
      </c>
      <c r="D209" s="109" t="str">
        <f t="shared" si="43"/>
        <v>Warentransporte</v>
      </c>
      <c r="E209" s="8" t="s">
        <v>58</v>
      </c>
      <c r="F209" s="8" t="s">
        <v>35</v>
      </c>
      <c r="G209" s="109">
        <v>0</v>
      </c>
      <c r="H209" s="109">
        <v>0</v>
      </c>
      <c r="I209" s="109">
        <v>6.0000000000000001E-3</v>
      </c>
      <c r="J209" s="8">
        <v>0</v>
      </c>
      <c r="K209" s="8" t="s">
        <v>125</v>
      </c>
      <c r="L209" s="8" t="s">
        <v>125</v>
      </c>
      <c r="M209" s="8" t="s">
        <v>705</v>
      </c>
      <c r="N209" s="8" t="s">
        <v>125</v>
      </c>
      <c r="O209" s="8" t="str">
        <f t="shared" si="44"/>
        <v>-</v>
      </c>
      <c r="P209" s="8" t="str">
        <f t="shared" si="44"/>
        <v>-</v>
      </c>
      <c r="Q209" s="8" t="str">
        <f t="shared" si="45"/>
        <v>Kat. 4</v>
      </c>
      <c r="R209" s="8"/>
      <c r="S209" s="8"/>
    </row>
    <row r="210" spans="1:44" x14ac:dyDescent="0.35">
      <c r="A210"/>
      <c r="B210"/>
      <c r="C210" t="str">
        <f>CONCATENATE(EFs_Warentransporte[[#This Row],[Thema]]," - ",EFs_Warentransporte[[#This Row],[Bezeichnung]])</f>
        <v>Warentransporte - See: Binnenschiff</v>
      </c>
      <c r="D210" s="109" t="str">
        <f t="shared" si="43"/>
        <v>Warentransporte</v>
      </c>
      <c r="E210" s="8" t="s">
        <v>202</v>
      </c>
      <c r="F210" s="8" t="s">
        <v>35</v>
      </c>
      <c r="G210" s="109">
        <v>0</v>
      </c>
      <c r="H210" s="109">
        <v>0</v>
      </c>
      <c r="I210" s="109">
        <v>3.1E-2</v>
      </c>
      <c r="J210" s="8">
        <v>0</v>
      </c>
      <c r="K210" s="8" t="s">
        <v>125</v>
      </c>
      <c r="L210" s="8" t="s">
        <v>125</v>
      </c>
      <c r="M210" s="8" t="s">
        <v>662</v>
      </c>
      <c r="N210" s="8" t="s">
        <v>714</v>
      </c>
      <c r="O210" s="8" t="str">
        <f t="shared" si="44"/>
        <v>-</v>
      </c>
      <c r="P210" s="8" t="str">
        <f t="shared" si="44"/>
        <v>-</v>
      </c>
      <c r="Q210" s="8" t="str">
        <f t="shared" si="45"/>
        <v>Kat. 4</v>
      </c>
      <c r="R210" s="8"/>
      <c r="S210" s="8"/>
    </row>
    <row r="211" spans="1:44" x14ac:dyDescent="0.35">
      <c r="A211"/>
      <c r="B211"/>
      <c r="C211" t="str">
        <f>CONCATENATE(EFs_Warentransporte[[#This Row],[Thema]]," - ",EFs_Warentransporte[[#This Row],[Bezeichnung]])</f>
        <v>Warentransporte - Luft: Frachtflugzeug</v>
      </c>
      <c r="D211" s="109" t="str">
        <f t="shared" si="43"/>
        <v>Warentransporte</v>
      </c>
      <c r="E211" s="8" t="s">
        <v>59</v>
      </c>
      <c r="F211" s="8" t="s">
        <v>35</v>
      </c>
      <c r="G211" s="109">
        <v>0</v>
      </c>
      <c r="H211" s="109">
        <v>0</v>
      </c>
      <c r="I211" s="109">
        <v>0.57399999999999995</v>
      </c>
      <c r="J211" s="8">
        <v>0</v>
      </c>
      <c r="K211" s="8" t="s">
        <v>125</v>
      </c>
      <c r="L211" s="8" t="s">
        <v>125</v>
      </c>
      <c r="M211" s="8" t="s">
        <v>705</v>
      </c>
      <c r="N211" s="8" t="s">
        <v>125</v>
      </c>
      <c r="O211" s="8" t="str">
        <f t="shared" si="44"/>
        <v>-</v>
      </c>
      <c r="P211" s="8" t="str">
        <f t="shared" si="44"/>
        <v>-</v>
      </c>
      <c r="Q211" s="8" t="str">
        <f t="shared" si="45"/>
        <v>Kat. 4</v>
      </c>
      <c r="R211" s="8"/>
      <c r="S211" s="8"/>
    </row>
    <row r="212" spans="1:44" x14ac:dyDescent="0.35">
      <c r="A212"/>
      <c r="B212"/>
      <c r="C212" t="str">
        <f>CONCATENATE(EFs_Warentransporte[[#This Row],[Thema]]," - ",EFs_Warentransporte[[#This Row],[Bezeichnung]])</f>
        <v>Warentransporte - Luft: Belly-Fracht</v>
      </c>
      <c r="D212" s="109" t="str">
        <f t="shared" si="43"/>
        <v>Warentransporte</v>
      </c>
      <c r="E212" s="8" t="s">
        <v>60</v>
      </c>
      <c r="F212" s="8" t="s">
        <v>35</v>
      </c>
      <c r="G212" s="109">
        <v>0</v>
      </c>
      <c r="H212" s="109">
        <v>0</v>
      </c>
      <c r="I212" s="109">
        <v>1.0009999999999999</v>
      </c>
      <c r="J212" s="8">
        <v>0</v>
      </c>
      <c r="K212" s="8" t="s">
        <v>125</v>
      </c>
      <c r="L212" s="8" t="s">
        <v>125</v>
      </c>
      <c r="M212" s="8" t="s">
        <v>705</v>
      </c>
      <c r="N212" s="8" t="s">
        <v>125</v>
      </c>
      <c r="O212" s="8" t="str">
        <f t="shared" si="44"/>
        <v>-</v>
      </c>
      <c r="P212" s="8" t="str">
        <f t="shared" si="44"/>
        <v>-</v>
      </c>
      <c r="Q212" s="8" t="str">
        <f t="shared" si="45"/>
        <v>Kat. 4</v>
      </c>
      <c r="R212" s="8"/>
      <c r="S212" s="8"/>
    </row>
    <row r="213" spans="1:44" x14ac:dyDescent="0.35">
      <c r="A213"/>
      <c r="B213"/>
      <c r="C213" t="str">
        <f>CONCATENATE(EFs_Warentransporte[[#This Row],[Thema]]," - ",EFs_Warentransporte[[#This Row],[Bezeichnung]])</f>
        <v>Warentransporte - Extern ermittelte Emissionen</v>
      </c>
      <c r="D213" s="109" t="str">
        <f t="shared" si="43"/>
        <v>Warentransporte</v>
      </c>
      <c r="E213" s="8" t="s">
        <v>130</v>
      </c>
      <c r="F213" s="8" t="s">
        <v>63</v>
      </c>
      <c r="G213" s="109">
        <v>0</v>
      </c>
      <c r="H213" s="109">
        <v>0</v>
      </c>
      <c r="I213" s="109">
        <v>1</v>
      </c>
      <c r="J213" s="8">
        <v>0</v>
      </c>
      <c r="K213" s="8" t="s">
        <v>125</v>
      </c>
      <c r="L213" s="8" t="s">
        <v>125</v>
      </c>
      <c r="M213" s="8" t="s">
        <v>125</v>
      </c>
      <c r="N213" s="8" t="s">
        <v>125</v>
      </c>
      <c r="O213" s="8" t="str">
        <f t="shared" si="44"/>
        <v>-</v>
      </c>
      <c r="P213" s="8" t="str">
        <f t="shared" si="44"/>
        <v>-</v>
      </c>
      <c r="Q213" s="8" t="str">
        <f t="shared" si="45"/>
        <v>Kat. 4</v>
      </c>
      <c r="R213" s="8"/>
      <c r="S213" s="8"/>
    </row>
    <row r="214" spans="1:44" ht="16.5" x14ac:dyDescent="0.45">
      <c r="A214"/>
      <c r="B214"/>
      <c r="C214" t="str">
        <f>CONCATENATE(EFs_Warentransporte[[#This Row],[Thema]]," - ",EFs_Warentransporte[[#This Row],[Bezeichnung]])</f>
        <v>Warentransporte - Extern ermittelte Nicht-CO2-Effekte</v>
      </c>
      <c r="D214" s="109" t="str">
        <f>"Warentransporte"</f>
        <v>Warentransporte</v>
      </c>
      <c r="E214" s="8" t="s">
        <v>627</v>
      </c>
      <c r="F214" s="8" t="s">
        <v>63</v>
      </c>
      <c r="G214" s="109">
        <v>0</v>
      </c>
      <c r="H214" s="109">
        <v>0</v>
      </c>
      <c r="I214" s="109">
        <v>0</v>
      </c>
      <c r="J214" s="8">
        <v>1</v>
      </c>
      <c r="K214" s="8" t="s">
        <v>125</v>
      </c>
      <c r="L214" s="8" t="s">
        <v>125</v>
      </c>
      <c r="M214" s="8" t="s">
        <v>125</v>
      </c>
      <c r="N214" s="8" t="s">
        <v>125</v>
      </c>
      <c r="O214" s="8" t="str">
        <f>"-"</f>
        <v>-</v>
      </c>
      <c r="P214" s="8" t="str">
        <f>"-"</f>
        <v>-</v>
      </c>
      <c r="Q214" s="8" t="str">
        <f>"Kat. 4"</f>
        <v>Kat. 4</v>
      </c>
      <c r="R214" s="8"/>
      <c r="S214" s="8"/>
    </row>
    <row r="215" spans="1:44" s="89" customFormat="1" x14ac:dyDescent="0.35">
      <c r="A215" s="265" t="str">
        <f>"Eigenfaktor --&gt;"</f>
        <v>Eigenfaktor --&gt;</v>
      </c>
      <c r="B215"/>
      <c r="C215" s="89" t="str">
        <f>CONCATENATE(EFs_Warentransporte[[#This Row],[Thema]]," - ",EFs_Warentransporte[[#This Row],[Bezeichnung]])</f>
        <v xml:space="preserve">Warentransporte - </v>
      </c>
      <c r="D215" s="109" t="str">
        <f t="shared" si="43"/>
        <v>Warentransporte</v>
      </c>
      <c r="E215" s="529"/>
      <c r="F215" s="529"/>
      <c r="G215" s="530"/>
      <c r="H215" s="530"/>
      <c r="I215" s="530"/>
      <c r="J215" s="530"/>
      <c r="K215" s="529"/>
      <c r="L215" s="529"/>
      <c r="M215" s="529"/>
      <c r="N215" s="529"/>
      <c r="O215" s="8" t="str">
        <f t="shared" ref="O215:O224" si="46">"-"</f>
        <v>-</v>
      </c>
      <c r="P215" s="8" t="str">
        <f t="shared" ref="P215:P224" si="47">"-"</f>
        <v>-</v>
      </c>
      <c r="Q215" s="8" t="str">
        <f t="shared" ref="Q215:Q224" si="48">"Kat. 4"</f>
        <v>Kat. 4</v>
      </c>
      <c r="R215" s="529"/>
      <c r="S215" s="8"/>
      <c r="T215" s="8"/>
      <c r="U215" s="8"/>
      <c r="V215" s="8"/>
      <c r="W215" s="8"/>
      <c r="X215" s="8"/>
      <c r="Y215" s="8"/>
      <c r="Z215" s="8"/>
      <c r="AA215" s="529"/>
      <c r="AB215" s="529"/>
      <c r="AC215" s="529"/>
      <c r="AD215" s="529"/>
      <c r="AE215" s="529"/>
      <c r="AF215" s="529"/>
      <c r="AG215" s="529"/>
      <c r="AH215" s="529"/>
      <c r="AI215" s="529"/>
      <c r="AJ215" s="529"/>
      <c r="AK215" s="529"/>
      <c r="AL215" s="529"/>
      <c r="AM215" s="529"/>
      <c r="AN215" s="529"/>
      <c r="AO215" s="529"/>
      <c r="AP215" s="529"/>
      <c r="AQ215" s="529"/>
      <c r="AR215" s="529"/>
    </row>
    <row r="216" spans="1:44" s="89" customFormat="1" x14ac:dyDescent="0.35">
      <c r="A216" s="265" t="str">
        <f t="shared" ref="A216:A220" si="49">"Eigenfaktor --&gt;"</f>
        <v>Eigenfaktor --&gt;</v>
      </c>
      <c r="B216"/>
      <c r="C216" s="89" t="str">
        <f>CONCATENATE(EFs_Warentransporte[[#This Row],[Thema]]," - ",EFs_Warentransporte[[#This Row],[Bezeichnung]])</f>
        <v xml:space="preserve">Warentransporte - </v>
      </c>
      <c r="D216" s="109" t="str">
        <f>"Warentransporte"</f>
        <v>Warentransporte</v>
      </c>
      <c r="E216" s="529"/>
      <c r="F216" s="529"/>
      <c r="G216" s="530"/>
      <c r="H216" s="530"/>
      <c r="I216" s="530"/>
      <c r="J216" s="530"/>
      <c r="K216" s="529"/>
      <c r="L216" s="529"/>
      <c r="M216" s="529"/>
      <c r="N216" s="529"/>
      <c r="O216" s="8" t="str">
        <f t="shared" ref="O216:P220" si="50">"-"</f>
        <v>-</v>
      </c>
      <c r="P216" s="8" t="str">
        <f t="shared" si="50"/>
        <v>-</v>
      </c>
      <c r="Q216" s="8" t="str">
        <f>"Kat. 4"</f>
        <v>Kat. 4</v>
      </c>
      <c r="R216" s="529"/>
      <c r="S216" s="8"/>
      <c r="T216" s="8"/>
      <c r="U216" s="8"/>
      <c r="V216" s="8"/>
      <c r="W216" s="8"/>
      <c r="X216" s="8"/>
      <c r="Y216" s="8"/>
      <c r="Z216" s="8"/>
      <c r="AA216" s="529"/>
      <c r="AB216" s="529"/>
      <c r="AC216" s="529"/>
      <c r="AD216" s="529"/>
      <c r="AE216" s="529"/>
      <c r="AF216" s="529"/>
      <c r="AG216" s="529"/>
      <c r="AH216" s="529"/>
      <c r="AI216" s="529"/>
      <c r="AJ216" s="529"/>
      <c r="AK216" s="529"/>
      <c r="AL216" s="529"/>
      <c r="AM216" s="529"/>
      <c r="AN216" s="529"/>
      <c r="AO216" s="529"/>
      <c r="AP216" s="529"/>
      <c r="AQ216" s="529"/>
      <c r="AR216" s="529"/>
    </row>
    <row r="217" spans="1:44" s="89" customFormat="1" x14ac:dyDescent="0.35">
      <c r="A217" s="265" t="str">
        <f t="shared" si="49"/>
        <v>Eigenfaktor --&gt;</v>
      </c>
      <c r="B217"/>
      <c r="C217" s="89" t="str">
        <f>CONCATENATE(EFs_Warentransporte[[#This Row],[Thema]]," - ",EFs_Warentransporte[[#This Row],[Bezeichnung]])</f>
        <v xml:space="preserve">Warentransporte - </v>
      </c>
      <c r="D217" s="109" t="str">
        <f>"Warentransporte"</f>
        <v>Warentransporte</v>
      </c>
      <c r="E217" s="529"/>
      <c r="F217" s="529"/>
      <c r="G217" s="530"/>
      <c r="H217" s="530"/>
      <c r="I217" s="530"/>
      <c r="J217" s="530"/>
      <c r="K217" s="529"/>
      <c r="L217" s="529"/>
      <c r="M217" s="529"/>
      <c r="N217" s="529"/>
      <c r="O217" s="8" t="str">
        <f t="shared" si="50"/>
        <v>-</v>
      </c>
      <c r="P217" s="8" t="str">
        <f t="shared" si="50"/>
        <v>-</v>
      </c>
      <c r="Q217" s="8" t="str">
        <f>"Kat. 4"</f>
        <v>Kat. 4</v>
      </c>
      <c r="R217" s="529"/>
      <c r="S217" s="8"/>
      <c r="T217" s="8"/>
      <c r="U217" s="8"/>
      <c r="V217" s="8"/>
      <c r="W217" s="8"/>
      <c r="X217" s="8"/>
      <c r="Y217" s="8"/>
      <c r="Z217" s="8"/>
      <c r="AA217" s="529"/>
      <c r="AB217" s="529"/>
      <c r="AC217" s="529"/>
      <c r="AD217" s="529"/>
      <c r="AE217" s="529"/>
      <c r="AF217" s="529"/>
      <c r="AG217" s="529"/>
      <c r="AH217" s="529"/>
      <c r="AI217" s="529"/>
      <c r="AJ217" s="529"/>
      <c r="AK217" s="529"/>
      <c r="AL217" s="529"/>
      <c r="AM217" s="529"/>
      <c r="AN217" s="529"/>
      <c r="AO217" s="529"/>
      <c r="AP217" s="529"/>
      <c r="AQ217" s="529"/>
      <c r="AR217" s="529"/>
    </row>
    <row r="218" spans="1:44" s="89" customFormat="1" x14ac:dyDescent="0.35">
      <c r="A218" s="265" t="str">
        <f t="shared" si="49"/>
        <v>Eigenfaktor --&gt;</v>
      </c>
      <c r="B218"/>
      <c r="C218" s="89" t="str">
        <f>CONCATENATE(EFs_Warentransporte[[#This Row],[Thema]]," - ",EFs_Warentransporte[[#This Row],[Bezeichnung]])</f>
        <v xml:space="preserve">Warentransporte - </v>
      </c>
      <c r="D218" s="109" t="str">
        <f>"Warentransporte"</f>
        <v>Warentransporte</v>
      </c>
      <c r="E218" s="529"/>
      <c r="F218" s="529"/>
      <c r="G218" s="530"/>
      <c r="H218" s="530"/>
      <c r="I218" s="530"/>
      <c r="J218" s="530"/>
      <c r="K218" s="529"/>
      <c r="L218" s="529"/>
      <c r="M218" s="529"/>
      <c r="N218" s="529"/>
      <c r="O218" s="8" t="str">
        <f t="shared" si="50"/>
        <v>-</v>
      </c>
      <c r="P218" s="8" t="str">
        <f t="shared" si="50"/>
        <v>-</v>
      </c>
      <c r="Q218" s="8" t="str">
        <f>"Kat. 4"</f>
        <v>Kat. 4</v>
      </c>
      <c r="R218" s="529"/>
      <c r="S218" s="8"/>
      <c r="T218" s="8"/>
      <c r="U218" s="8"/>
      <c r="V218" s="8"/>
      <c r="W218" s="8"/>
      <c r="X218" s="8"/>
      <c r="Y218" s="8"/>
      <c r="Z218" s="8"/>
      <c r="AA218" s="529"/>
      <c r="AB218" s="529"/>
      <c r="AC218" s="529"/>
      <c r="AD218" s="529"/>
      <c r="AE218" s="529"/>
      <c r="AF218" s="529"/>
      <c r="AG218" s="529"/>
      <c r="AH218" s="529"/>
      <c r="AI218" s="529"/>
      <c r="AJ218" s="529"/>
      <c r="AK218" s="529"/>
      <c r="AL218" s="529"/>
      <c r="AM218" s="529"/>
      <c r="AN218" s="529"/>
      <c r="AO218" s="529"/>
      <c r="AP218" s="529"/>
      <c r="AQ218" s="529"/>
      <c r="AR218" s="529"/>
    </row>
    <row r="219" spans="1:44" s="89" customFormat="1" x14ac:dyDescent="0.35">
      <c r="A219" s="265" t="str">
        <f t="shared" si="49"/>
        <v>Eigenfaktor --&gt;</v>
      </c>
      <c r="B219"/>
      <c r="C219" s="89" t="str">
        <f>CONCATENATE(EFs_Warentransporte[[#This Row],[Thema]]," - ",EFs_Warentransporte[[#This Row],[Bezeichnung]])</f>
        <v xml:space="preserve">Warentransporte - </v>
      </c>
      <c r="D219" s="109" t="str">
        <f>"Warentransporte"</f>
        <v>Warentransporte</v>
      </c>
      <c r="E219" s="529"/>
      <c r="F219" s="529"/>
      <c r="G219" s="530"/>
      <c r="H219" s="530"/>
      <c r="I219" s="530"/>
      <c r="J219" s="530"/>
      <c r="K219" s="529"/>
      <c r="L219" s="529"/>
      <c r="M219" s="529"/>
      <c r="N219" s="529"/>
      <c r="O219" s="8" t="str">
        <f t="shared" si="50"/>
        <v>-</v>
      </c>
      <c r="P219" s="8" t="str">
        <f t="shared" si="50"/>
        <v>-</v>
      </c>
      <c r="Q219" s="8" t="str">
        <f>"Kat. 4"</f>
        <v>Kat. 4</v>
      </c>
      <c r="R219" s="529"/>
      <c r="S219" s="8"/>
      <c r="T219" s="8"/>
      <c r="U219" s="8"/>
      <c r="V219" s="8"/>
      <c r="W219" s="8"/>
      <c r="X219" s="8"/>
      <c r="Y219" s="8"/>
      <c r="Z219" s="8"/>
      <c r="AA219" s="529"/>
      <c r="AB219" s="529"/>
      <c r="AC219" s="529"/>
      <c r="AD219" s="529"/>
      <c r="AE219" s="529"/>
      <c r="AF219" s="529"/>
      <c r="AG219" s="529"/>
      <c r="AH219" s="529"/>
      <c r="AI219" s="529"/>
      <c r="AJ219" s="529"/>
      <c r="AK219" s="529"/>
      <c r="AL219" s="529"/>
      <c r="AM219" s="529"/>
      <c r="AN219" s="529"/>
      <c r="AO219" s="529"/>
      <c r="AP219" s="529"/>
      <c r="AQ219" s="529"/>
      <c r="AR219" s="529"/>
    </row>
    <row r="220" spans="1:44" s="89" customFormat="1" x14ac:dyDescent="0.35">
      <c r="A220" s="265" t="str">
        <f t="shared" si="49"/>
        <v>Eigenfaktor --&gt;</v>
      </c>
      <c r="B220"/>
      <c r="C220" s="89" t="str">
        <f>CONCATENATE(EFs_Warentransporte[[#This Row],[Thema]]," - ",EFs_Warentransporte[[#This Row],[Bezeichnung]])</f>
        <v xml:space="preserve">Warentransporte - </v>
      </c>
      <c r="D220" s="109" t="str">
        <f>"Warentransporte"</f>
        <v>Warentransporte</v>
      </c>
      <c r="E220" s="529"/>
      <c r="F220" s="529"/>
      <c r="G220" s="530"/>
      <c r="H220" s="530"/>
      <c r="I220" s="530"/>
      <c r="J220" s="530"/>
      <c r="K220" s="529"/>
      <c r="L220" s="529"/>
      <c r="M220" s="529"/>
      <c r="N220" s="529"/>
      <c r="O220" s="8" t="str">
        <f t="shared" si="50"/>
        <v>-</v>
      </c>
      <c r="P220" s="8" t="str">
        <f t="shared" si="50"/>
        <v>-</v>
      </c>
      <c r="Q220" s="8" t="str">
        <f>"Kat. 4"</f>
        <v>Kat. 4</v>
      </c>
      <c r="R220" s="529"/>
      <c r="S220" s="8"/>
      <c r="T220" s="8"/>
      <c r="U220" s="8"/>
      <c r="V220" s="8"/>
      <c r="W220" s="8"/>
      <c r="X220" s="8"/>
      <c r="Y220" s="8"/>
      <c r="Z220" s="8"/>
      <c r="AA220" s="529"/>
      <c r="AB220" s="529"/>
      <c r="AC220" s="529"/>
      <c r="AD220" s="529"/>
      <c r="AE220" s="529"/>
      <c r="AF220" s="529"/>
      <c r="AG220" s="529"/>
      <c r="AH220" s="529"/>
      <c r="AI220" s="529"/>
      <c r="AJ220" s="529"/>
      <c r="AK220" s="529"/>
      <c r="AL220" s="529"/>
      <c r="AM220" s="529"/>
      <c r="AN220" s="529"/>
      <c r="AO220" s="529"/>
      <c r="AP220" s="529"/>
      <c r="AQ220" s="529"/>
      <c r="AR220" s="529"/>
    </row>
    <row r="221" spans="1:44" s="89" customFormat="1" x14ac:dyDescent="0.35">
      <c r="A221" s="265" t="str">
        <f t="shared" ref="A221:A224" si="51">"Eigenfaktor --&gt;"</f>
        <v>Eigenfaktor --&gt;</v>
      </c>
      <c r="B221"/>
      <c r="C221" s="89" t="str">
        <f>CONCATENATE(EFs_Warentransporte[[#This Row],[Thema]]," - ",EFs_Warentransporte[[#This Row],[Bezeichnung]])</f>
        <v xml:space="preserve">Warentransporte - </v>
      </c>
      <c r="D221" s="109" t="str">
        <f t="shared" si="43"/>
        <v>Warentransporte</v>
      </c>
      <c r="E221" s="529"/>
      <c r="F221" s="529"/>
      <c r="G221" s="530"/>
      <c r="H221" s="530"/>
      <c r="I221" s="530"/>
      <c r="J221" s="530"/>
      <c r="K221" s="529"/>
      <c r="L221" s="529"/>
      <c r="M221" s="529"/>
      <c r="N221" s="529"/>
      <c r="O221" s="8" t="str">
        <f t="shared" si="46"/>
        <v>-</v>
      </c>
      <c r="P221" s="8" t="str">
        <f t="shared" si="47"/>
        <v>-</v>
      </c>
      <c r="Q221" s="8" t="str">
        <f t="shared" si="48"/>
        <v>Kat. 4</v>
      </c>
      <c r="R221" s="529"/>
      <c r="S221" s="8"/>
      <c r="T221" s="8"/>
      <c r="U221" s="8"/>
      <c r="V221" s="8"/>
      <c r="W221" s="8"/>
      <c r="X221" s="8"/>
      <c r="Y221" s="8"/>
      <c r="Z221" s="8"/>
      <c r="AA221" s="529"/>
      <c r="AB221" s="529"/>
      <c r="AC221" s="529"/>
      <c r="AD221" s="529"/>
      <c r="AE221" s="529"/>
      <c r="AF221" s="529"/>
      <c r="AG221" s="529"/>
      <c r="AH221" s="529"/>
      <c r="AI221" s="529"/>
      <c r="AJ221" s="529"/>
      <c r="AK221" s="529"/>
      <c r="AL221" s="529"/>
      <c r="AM221" s="529"/>
      <c r="AN221" s="529"/>
      <c r="AO221" s="529"/>
      <c r="AP221" s="529"/>
      <c r="AQ221" s="529"/>
      <c r="AR221" s="529"/>
    </row>
    <row r="222" spans="1:44" s="89" customFormat="1" x14ac:dyDescent="0.35">
      <c r="A222" s="265" t="str">
        <f t="shared" si="51"/>
        <v>Eigenfaktor --&gt;</v>
      </c>
      <c r="B222"/>
      <c r="C222" s="89" t="str">
        <f>CONCATENATE(EFs_Warentransporte[[#This Row],[Thema]]," - ",EFs_Warentransporte[[#This Row],[Bezeichnung]])</f>
        <v xml:space="preserve">Warentransporte - </v>
      </c>
      <c r="D222" s="109" t="str">
        <f t="shared" si="43"/>
        <v>Warentransporte</v>
      </c>
      <c r="E222" s="529"/>
      <c r="F222" s="529"/>
      <c r="G222" s="530"/>
      <c r="H222" s="530"/>
      <c r="I222" s="530"/>
      <c r="J222" s="530"/>
      <c r="K222" s="529"/>
      <c r="L222" s="529"/>
      <c r="M222" s="529"/>
      <c r="N222" s="529"/>
      <c r="O222" s="8" t="str">
        <f t="shared" si="46"/>
        <v>-</v>
      </c>
      <c r="P222" s="8" t="str">
        <f t="shared" si="47"/>
        <v>-</v>
      </c>
      <c r="Q222" s="8" t="str">
        <f t="shared" si="48"/>
        <v>Kat. 4</v>
      </c>
      <c r="R222" s="529"/>
      <c r="S222" s="8"/>
      <c r="T222" s="8"/>
      <c r="U222" s="8"/>
      <c r="V222" s="8"/>
      <c r="W222" s="8"/>
      <c r="X222" s="8"/>
      <c r="Y222" s="8"/>
      <c r="Z222" s="8"/>
      <c r="AA222" s="529"/>
      <c r="AB222" s="529"/>
      <c r="AC222" s="529"/>
      <c r="AD222" s="529"/>
      <c r="AE222" s="529"/>
      <c r="AF222" s="529"/>
      <c r="AG222" s="529"/>
      <c r="AH222" s="529"/>
      <c r="AI222" s="529"/>
      <c r="AJ222" s="529"/>
      <c r="AK222" s="529"/>
      <c r="AL222" s="529"/>
      <c r="AM222" s="529"/>
      <c r="AN222" s="529"/>
      <c r="AO222" s="529"/>
      <c r="AP222" s="529"/>
      <c r="AQ222" s="529"/>
      <c r="AR222" s="529"/>
    </row>
    <row r="223" spans="1:44" s="89" customFormat="1" x14ac:dyDescent="0.35">
      <c r="A223" s="357" t="str">
        <f t="shared" si="51"/>
        <v>Eigenfaktor --&gt;</v>
      </c>
      <c r="C223" s="89" t="str">
        <f>CONCATENATE(EFs_Warentransporte[[#This Row],[Thema]]," - ",EFs_Warentransporte[[#This Row],[Bezeichnung]])</f>
        <v xml:space="preserve">Warentransporte - </v>
      </c>
      <c r="D223" s="530" t="str">
        <f t="shared" si="43"/>
        <v>Warentransporte</v>
      </c>
      <c r="E223" s="529"/>
      <c r="F223" s="529"/>
      <c r="G223" s="530"/>
      <c r="H223" s="530"/>
      <c r="I223" s="530"/>
      <c r="J223" s="530"/>
      <c r="K223" s="529"/>
      <c r="L223" s="529"/>
      <c r="M223" s="529"/>
      <c r="N223" s="529"/>
      <c r="O223" s="529" t="str">
        <f t="shared" si="46"/>
        <v>-</v>
      </c>
      <c r="P223" s="529" t="str">
        <f t="shared" si="47"/>
        <v>-</v>
      </c>
      <c r="Q223" s="529" t="str">
        <f t="shared" si="48"/>
        <v>Kat. 4</v>
      </c>
      <c r="R223" s="529"/>
      <c r="S223" s="529"/>
      <c r="T223" s="529"/>
      <c r="U223" s="529"/>
      <c r="V223" s="529"/>
      <c r="W223" s="529"/>
      <c r="X223" s="529"/>
      <c r="Y223" s="529"/>
      <c r="Z223" s="529"/>
      <c r="AA223" s="529"/>
      <c r="AB223" s="529"/>
      <c r="AC223" s="529"/>
      <c r="AD223" s="529"/>
      <c r="AE223" s="529"/>
      <c r="AF223" s="529"/>
      <c r="AG223" s="529"/>
      <c r="AH223" s="529"/>
      <c r="AI223" s="529"/>
      <c r="AJ223" s="529"/>
      <c r="AK223" s="529"/>
      <c r="AL223" s="529"/>
      <c r="AM223" s="529"/>
      <c r="AN223" s="529"/>
      <c r="AO223" s="529"/>
      <c r="AP223" s="529"/>
      <c r="AQ223" s="529"/>
      <c r="AR223" s="529"/>
    </row>
    <row r="224" spans="1:44" s="89" customFormat="1" x14ac:dyDescent="0.35">
      <c r="A224" s="357" t="str">
        <f t="shared" si="51"/>
        <v>Eigenfaktor --&gt;</v>
      </c>
      <c r="C224" s="89" t="str">
        <f>CONCATENATE(EFs_Warentransporte[[#This Row],[Thema]]," - ",EFs_Warentransporte[[#This Row],[Bezeichnung]])</f>
        <v xml:space="preserve">Warentransporte - </v>
      </c>
      <c r="D224" s="530" t="str">
        <f t="shared" si="43"/>
        <v>Warentransporte</v>
      </c>
      <c r="E224" s="529"/>
      <c r="F224" s="529"/>
      <c r="G224" s="530"/>
      <c r="H224" s="530"/>
      <c r="I224" s="530"/>
      <c r="J224" s="530"/>
      <c r="K224" s="529"/>
      <c r="L224" s="529"/>
      <c r="M224" s="529"/>
      <c r="N224" s="529"/>
      <c r="O224" s="529" t="str">
        <f t="shared" si="46"/>
        <v>-</v>
      </c>
      <c r="P224" s="529" t="str">
        <f t="shared" si="47"/>
        <v>-</v>
      </c>
      <c r="Q224" s="529" t="str">
        <f t="shared" si="48"/>
        <v>Kat. 4</v>
      </c>
      <c r="R224" s="529"/>
      <c r="S224" s="529"/>
      <c r="T224" s="529"/>
      <c r="U224" s="529"/>
      <c r="V224" s="529"/>
      <c r="W224" s="529"/>
      <c r="X224" s="529"/>
      <c r="Y224" s="529"/>
      <c r="Z224" s="529"/>
      <c r="AA224" s="529"/>
      <c r="AB224" s="529"/>
      <c r="AC224" s="529"/>
      <c r="AD224" s="529"/>
      <c r="AE224" s="529"/>
      <c r="AF224" s="529"/>
      <c r="AG224" s="529"/>
      <c r="AH224" s="529"/>
      <c r="AI224" s="529"/>
      <c r="AJ224" s="529"/>
      <c r="AK224" s="529"/>
      <c r="AL224" s="529"/>
      <c r="AM224" s="529"/>
      <c r="AN224" s="529"/>
      <c r="AO224" s="529"/>
      <c r="AP224" s="529"/>
      <c r="AQ224" s="529"/>
      <c r="AR224" s="529"/>
    </row>
    <row r="225" spans="1:44" s="89" customFormat="1" x14ac:dyDescent="0.35">
      <c r="D225" s="530"/>
      <c r="E225" s="529"/>
      <c r="F225" s="529"/>
      <c r="G225" s="530"/>
      <c r="H225" s="530"/>
      <c r="I225" s="530"/>
      <c r="J225" s="529"/>
      <c r="K225" s="529"/>
      <c r="L225" s="529"/>
      <c r="M225" s="529"/>
      <c r="N225" s="529"/>
      <c r="O225" s="529"/>
      <c r="P225" s="529"/>
      <c r="Q225" s="529"/>
      <c r="R225" s="529"/>
      <c r="S225" s="529"/>
      <c r="T225" s="529"/>
      <c r="U225" s="529"/>
      <c r="V225" s="529"/>
      <c r="W225" s="529"/>
      <c r="X225" s="529"/>
      <c r="Y225" s="529"/>
      <c r="Z225" s="529"/>
      <c r="AA225" s="529"/>
      <c r="AB225" s="529"/>
      <c r="AC225" s="529"/>
      <c r="AD225" s="529"/>
      <c r="AE225" s="529"/>
      <c r="AF225" s="529"/>
      <c r="AG225" s="529"/>
      <c r="AH225" s="529"/>
      <c r="AI225" s="529"/>
      <c r="AJ225" s="529"/>
      <c r="AK225" s="529"/>
      <c r="AL225" s="529"/>
      <c r="AM225" s="529"/>
      <c r="AN225" s="529"/>
      <c r="AO225" s="529"/>
      <c r="AP225" s="529"/>
      <c r="AQ225" s="529"/>
      <c r="AR225" s="529"/>
    </row>
    <row r="226" spans="1:44" ht="30" customHeight="1" x14ac:dyDescent="0.35">
      <c r="A226" s="685" t="s">
        <v>291</v>
      </c>
      <c r="B226" s="685"/>
      <c r="C226" s="151" t="s">
        <v>46</v>
      </c>
      <c r="D226" s="151" t="s">
        <v>0</v>
      </c>
      <c r="E226" s="151" t="s">
        <v>1</v>
      </c>
      <c r="F226" s="151" t="s">
        <v>53</v>
      </c>
      <c r="G226" s="151" t="s">
        <v>485</v>
      </c>
      <c r="H226" s="151" t="s">
        <v>486</v>
      </c>
      <c r="I226" s="151" t="s">
        <v>487</v>
      </c>
      <c r="J226" s="151" t="s">
        <v>2</v>
      </c>
      <c r="K226" s="151" t="s">
        <v>3</v>
      </c>
      <c r="L226" s="151" t="s">
        <v>4</v>
      </c>
      <c r="M226" s="151" t="s">
        <v>21</v>
      </c>
      <c r="N226" s="151" t="s">
        <v>277</v>
      </c>
      <c r="O226" s="151" t="s">
        <v>278</v>
      </c>
      <c r="P226" s="151" t="s">
        <v>279</v>
      </c>
      <c r="Q226" s="8"/>
      <c r="R226" s="8"/>
      <c r="S226" s="8"/>
    </row>
    <row r="227" spans="1:44" x14ac:dyDescent="0.35">
      <c r="A227" s="685"/>
      <c r="B227" s="685"/>
      <c r="C227" t="str">
        <f>CONCATENATE(EFs_Medien[[#This Row],[Thema]]," - ",EFs_Medien[[#This Row],[Bezeichnung]])</f>
        <v>Medien - Bücher (kg)</v>
      </c>
      <c r="D227" s="109" t="str">
        <f t="shared" ref="D227:D242" si="52">"Medien"</f>
        <v>Medien</v>
      </c>
      <c r="E227" s="8" t="s">
        <v>115</v>
      </c>
      <c r="F227" s="8" t="s">
        <v>26</v>
      </c>
      <c r="G227" s="109">
        <v>0</v>
      </c>
      <c r="H227" s="109">
        <v>0</v>
      </c>
      <c r="I227" s="109">
        <v>3.6666666999999999</v>
      </c>
      <c r="J227" s="8" t="s">
        <v>125</v>
      </c>
      <c r="K227" s="8" t="s">
        <v>125</v>
      </c>
      <c r="L227" s="8" t="s">
        <v>715</v>
      </c>
      <c r="M227" s="8" t="s">
        <v>387</v>
      </c>
      <c r="N227" s="8" t="str">
        <f t="shared" ref="N227:O232" si="53">"-"</f>
        <v>-</v>
      </c>
      <c r="O227" s="8" t="str">
        <f t="shared" si="53"/>
        <v>-</v>
      </c>
      <c r="P227" s="8" t="str">
        <f t="shared" ref="P227:P232" si="54">"Kat. 1"</f>
        <v>Kat. 1</v>
      </c>
      <c r="Q227" s="8"/>
      <c r="R227" s="8"/>
      <c r="S227" s="8"/>
    </row>
    <row r="228" spans="1:44" x14ac:dyDescent="0.35">
      <c r="A228"/>
      <c r="B228"/>
      <c r="C228" t="str">
        <f>CONCATENATE(EFs_Medien[[#This Row],[Thema]]," - ",EFs_Medien[[#This Row],[Bezeichnung]])</f>
        <v>Medien - Bücher (Stück)</v>
      </c>
      <c r="D228" s="109" t="str">
        <f t="shared" si="52"/>
        <v>Medien</v>
      </c>
      <c r="E228" s="8" t="s">
        <v>248</v>
      </c>
      <c r="F228" s="8" t="s">
        <v>36</v>
      </c>
      <c r="G228" s="109">
        <v>0</v>
      </c>
      <c r="H228" s="109">
        <v>0</v>
      </c>
      <c r="I228" s="109">
        <v>1.1000000000000001</v>
      </c>
      <c r="J228" s="8" t="s">
        <v>125</v>
      </c>
      <c r="K228" s="8" t="s">
        <v>125</v>
      </c>
      <c r="L228" s="8" t="s">
        <v>716</v>
      </c>
      <c r="M228" s="8" t="s">
        <v>388</v>
      </c>
      <c r="N228" s="8" t="str">
        <f t="shared" si="53"/>
        <v>-</v>
      </c>
      <c r="O228" s="8" t="str">
        <f t="shared" si="53"/>
        <v>-</v>
      </c>
      <c r="P228" s="8" t="str">
        <f t="shared" si="54"/>
        <v>Kat. 1</v>
      </c>
      <c r="Q228" s="8"/>
      <c r="R228" s="8"/>
      <c r="S228" s="8"/>
    </row>
    <row r="229" spans="1:44" x14ac:dyDescent="0.35">
      <c r="A229"/>
      <c r="B229"/>
      <c r="C229" t="str">
        <f>CONCATENATE(EFs_Medien[[#This Row],[Thema]]," - ",EFs_Medien[[#This Row],[Bezeichnung]])</f>
        <v>Medien - CDs (kg)</v>
      </c>
      <c r="D229" s="109" t="str">
        <f t="shared" si="52"/>
        <v>Medien</v>
      </c>
      <c r="E229" s="8" t="s">
        <v>116</v>
      </c>
      <c r="F229" s="8" t="s">
        <v>26</v>
      </c>
      <c r="G229" s="109">
        <v>0</v>
      </c>
      <c r="H229" s="109">
        <v>0</v>
      </c>
      <c r="I229" s="109">
        <v>8.5975000000000001</v>
      </c>
      <c r="J229" s="8" t="s">
        <v>125</v>
      </c>
      <c r="K229" s="8" t="s">
        <v>125</v>
      </c>
      <c r="L229" s="8" t="s">
        <v>717</v>
      </c>
      <c r="M229" s="8" t="s">
        <v>389</v>
      </c>
      <c r="N229" s="8" t="str">
        <f t="shared" si="53"/>
        <v>-</v>
      </c>
      <c r="O229" s="8" t="str">
        <f t="shared" si="53"/>
        <v>-</v>
      </c>
      <c r="P229" s="8" t="str">
        <f t="shared" si="54"/>
        <v>Kat. 1</v>
      </c>
      <c r="Q229" s="8"/>
      <c r="R229" s="8"/>
      <c r="S229" s="8"/>
    </row>
    <row r="230" spans="1:44" x14ac:dyDescent="0.35">
      <c r="A230"/>
      <c r="B230"/>
      <c r="C230" t="str">
        <f>CONCATENATE(EFs_Medien[[#This Row],[Thema]]," - ",EFs_Medien[[#This Row],[Bezeichnung]])</f>
        <v>Medien - CDs (Stück)</v>
      </c>
      <c r="D230" s="109" t="str">
        <f t="shared" si="52"/>
        <v>Medien</v>
      </c>
      <c r="E230" s="8" t="s">
        <v>249</v>
      </c>
      <c r="F230" s="8" t="s">
        <v>36</v>
      </c>
      <c r="G230" s="109">
        <v>0</v>
      </c>
      <c r="H230" s="109">
        <v>0</v>
      </c>
      <c r="I230" s="109">
        <v>0.13755999999999999</v>
      </c>
      <c r="J230" s="8" t="s">
        <v>125</v>
      </c>
      <c r="K230" s="8" t="s">
        <v>125</v>
      </c>
      <c r="L230" s="8" t="s">
        <v>718</v>
      </c>
      <c r="M230" s="8" t="s">
        <v>390</v>
      </c>
      <c r="N230" s="8" t="str">
        <f t="shared" si="53"/>
        <v>-</v>
      </c>
      <c r="O230" s="8" t="str">
        <f t="shared" si="53"/>
        <v>-</v>
      </c>
      <c r="P230" s="8" t="str">
        <f t="shared" si="54"/>
        <v>Kat. 1</v>
      </c>
      <c r="Q230" s="8"/>
      <c r="R230" s="8"/>
      <c r="S230" s="8"/>
    </row>
    <row r="231" spans="1:44" x14ac:dyDescent="0.35">
      <c r="A231"/>
      <c r="B231"/>
      <c r="C231" t="str">
        <f>CONCATENATE(EFs_Medien[[#This Row],[Thema]]," - ",EFs_Medien[[#This Row],[Bezeichnung]])</f>
        <v>Medien - DVDs (kg)</v>
      </c>
      <c r="D231" s="109" t="str">
        <f t="shared" si="52"/>
        <v>Medien</v>
      </c>
      <c r="E231" s="8" t="s">
        <v>117</v>
      </c>
      <c r="F231" s="8" t="s">
        <v>26</v>
      </c>
      <c r="G231" s="109">
        <v>0</v>
      </c>
      <c r="H231" s="109">
        <v>0</v>
      </c>
      <c r="I231" s="109">
        <v>8.5975000000000001</v>
      </c>
      <c r="J231" s="8" t="s">
        <v>125</v>
      </c>
      <c r="K231" s="8" t="s">
        <v>125</v>
      </c>
      <c r="L231" s="8" t="s">
        <v>717</v>
      </c>
      <c r="M231" s="8" t="s">
        <v>389</v>
      </c>
      <c r="N231" s="8" t="str">
        <f t="shared" si="53"/>
        <v>-</v>
      </c>
      <c r="O231" s="8" t="str">
        <f t="shared" si="53"/>
        <v>-</v>
      </c>
      <c r="P231" s="8" t="str">
        <f t="shared" si="54"/>
        <v>Kat. 1</v>
      </c>
      <c r="Q231" s="8"/>
      <c r="R231" s="8"/>
      <c r="S231" s="8"/>
    </row>
    <row r="232" spans="1:44" x14ac:dyDescent="0.35">
      <c r="A232"/>
      <c r="B232"/>
      <c r="C232" t="str">
        <f>CONCATENATE(EFs_Medien[[#This Row],[Thema]]," - ",EFs_Medien[[#This Row],[Bezeichnung]])</f>
        <v>Medien - DVDs (Stück)</v>
      </c>
      <c r="D232" s="109" t="str">
        <f t="shared" si="52"/>
        <v>Medien</v>
      </c>
      <c r="E232" s="8" t="s">
        <v>250</v>
      </c>
      <c r="F232" s="8" t="s">
        <v>36</v>
      </c>
      <c r="G232" s="109">
        <v>0</v>
      </c>
      <c r="H232" s="109">
        <v>0</v>
      </c>
      <c r="I232" s="109">
        <v>0.13755999999999999</v>
      </c>
      <c r="J232" s="8" t="s">
        <v>125</v>
      </c>
      <c r="K232" s="8" t="s">
        <v>125</v>
      </c>
      <c r="L232" s="8" t="s">
        <v>718</v>
      </c>
      <c r="M232" s="8" t="s">
        <v>390</v>
      </c>
      <c r="N232" s="8" t="str">
        <f t="shared" si="53"/>
        <v>-</v>
      </c>
      <c r="O232" s="8" t="str">
        <f t="shared" si="53"/>
        <v>-</v>
      </c>
      <c r="P232" s="8" t="str">
        <f t="shared" si="54"/>
        <v>Kat. 1</v>
      </c>
      <c r="Q232" s="8"/>
      <c r="R232" s="8"/>
      <c r="S232" s="8"/>
    </row>
    <row r="233" spans="1:44" s="89" customFormat="1" x14ac:dyDescent="0.35">
      <c r="A233" s="265" t="str">
        <f>"Eigenfaktor --&gt;"</f>
        <v>Eigenfaktor --&gt;</v>
      </c>
      <c r="B233"/>
      <c r="C233" s="89" t="str">
        <f>CONCATENATE(EFs_Medien[[#This Row],[Thema]]," - ",EFs_Medien[[#This Row],[Bezeichnung]])</f>
        <v xml:space="preserve">Medien - </v>
      </c>
      <c r="D233" s="109" t="str">
        <f t="shared" si="52"/>
        <v>Medien</v>
      </c>
      <c r="E233" s="529"/>
      <c r="F233" s="529"/>
      <c r="G233" s="530"/>
      <c r="H233" s="530"/>
      <c r="I233" s="530"/>
      <c r="J233" s="529"/>
      <c r="K233" s="529"/>
      <c r="L233" s="529"/>
      <c r="M233" s="529"/>
      <c r="N233" s="8" t="str">
        <f t="shared" ref="N233:N242" si="55">"-"</f>
        <v>-</v>
      </c>
      <c r="O233" s="8" t="str">
        <f t="shared" ref="O233:O242" si="56">"-"</f>
        <v>-</v>
      </c>
      <c r="P233" s="8" t="str">
        <f t="shared" ref="P233:P242" si="57">"Kat. 1"</f>
        <v>Kat. 1</v>
      </c>
      <c r="Q233" s="529"/>
      <c r="R233" s="8"/>
      <c r="S233" s="8"/>
      <c r="T233" s="8"/>
      <c r="U233" s="8"/>
      <c r="V233" s="8"/>
      <c r="W233" s="8"/>
      <c r="X233" s="8"/>
      <c r="Y233" s="8"/>
      <c r="Z233" s="529"/>
      <c r="AA233" s="529"/>
      <c r="AB233" s="529"/>
      <c r="AC233" s="529"/>
      <c r="AD233" s="529"/>
      <c r="AE233" s="529"/>
      <c r="AF233" s="529"/>
      <c r="AG233" s="529"/>
      <c r="AH233" s="529"/>
      <c r="AI233" s="529"/>
      <c r="AJ233" s="529"/>
      <c r="AK233" s="529"/>
      <c r="AL233" s="529"/>
      <c r="AM233" s="529"/>
      <c r="AN233" s="529"/>
      <c r="AO233" s="529"/>
      <c r="AP233" s="529"/>
      <c r="AQ233" s="529"/>
      <c r="AR233" s="529"/>
    </row>
    <row r="234" spans="1:44" s="89" customFormat="1" x14ac:dyDescent="0.35">
      <c r="A234" s="265" t="str">
        <f t="shared" ref="A234:A238" si="58">"Eigenfaktor --&gt;"</f>
        <v>Eigenfaktor --&gt;</v>
      </c>
      <c r="B234"/>
      <c r="C234" s="89" t="str">
        <f>CONCATENATE(EFs_Medien[[#This Row],[Thema]]," - ",EFs_Medien[[#This Row],[Bezeichnung]])</f>
        <v xml:space="preserve">Medien - </v>
      </c>
      <c r="D234" s="109" t="str">
        <f>"Medien"</f>
        <v>Medien</v>
      </c>
      <c r="E234" s="529"/>
      <c r="F234" s="529"/>
      <c r="G234" s="530"/>
      <c r="H234" s="530"/>
      <c r="I234" s="530"/>
      <c r="J234" s="529"/>
      <c r="K234" s="529"/>
      <c r="L234" s="529"/>
      <c r="M234" s="529"/>
      <c r="N234" s="8" t="str">
        <f t="shared" ref="N234:O238" si="59">"-"</f>
        <v>-</v>
      </c>
      <c r="O234" s="8" t="str">
        <f t="shared" si="59"/>
        <v>-</v>
      </c>
      <c r="P234" s="8" t="str">
        <f>"Kat. 1"</f>
        <v>Kat. 1</v>
      </c>
      <c r="Q234" s="529"/>
      <c r="R234" s="8"/>
      <c r="S234" s="8"/>
      <c r="T234" s="8"/>
      <c r="U234" s="8"/>
      <c r="V234" s="8"/>
      <c r="W234" s="8"/>
      <c r="X234" s="8"/>
      <c r="Y234" s="8"/>
      <c r="Z234" s="529"/>
      <c r="AA234" s="529"/>
      <c r="AB234" s="529"/>
      <c r="AC234" s="529"/>
      <c r="AD234" s="529"/>
      <c r="AE234" s="529"/>
      <c r="AF234" s="529"/>
      <c r="AG234" s="529"/>
      <c r="AH234" s="529"/>
      <c r="AI234" s="529"/>
      <c r="AJ234" s="529"/>
      <c r="AK234" s="529"/>
      <c r="AL234" s="529"/>
      <c r="AM234" s="529"/>
      <c r="AN234" s="529"/>
      <c r="AO234" s="529"/>
      <c r="AP234" s="529"/>
      <c r="AQ234" s="529"/>
      <c r="AR234" s="529"/>
    </row>
    <row r="235" spans="1:44" s="89" customFormat="1" x14ac:dyDescent="0.35">
      <c r="A235" s="265" t="str">
        <f t="shared" si="58"/>
        <v>Eigenfaktor --&gt;</v>
      </c>
      <c r="B235"/>
      <c r="C235" s="89" t="str">
        <f>CONCATENATE(EFs_Medien[[#This Row],[Thema]]," - ",EFs_Medien[[#This Row],[Bezeichnung]])</f>
        <v xml:space="preserve">Medien - </v>
      </c>
      <c r="D235" s="109" t="str">
        <f>"Medien"</f>
        <v>Medien</v>
      </c>
      <c r="E235" s="529"/>
      <c r="F235" s="529"/>
      <c r="G235" s="530"/>
      <c r="H235" s="530"/>
      <c r="I235" s="530"/>
      <c r="J235" s="529"/>
      <c r="K235" s="529"/>
      <c r="L235" s="529"/>
      <c r="M235" s="529"/>
      <c r="N235" s="8" t="str">
        <f t="shared" si="59"/>
        <v>-</v>
      </c>
      <c r="O235" s="8" t="str">
        <f t="shared" si="59"/>
        <v>-</v>
      </c>
      <c r="P235" s="8" t="str">
        <f>"Kat. 1"</f>
        <v>Kat. 1</v>
      </c>
      <c r="Q235" s="529"/>
      <c r="R235" s="8"/>
      <c r="S235" s="8"/>
      <c r="T235" s="8"/>
      <c r="U235" s="8"/>
      <c r="V235" s="8"/>
      <c r="W235" s="8"/>
      <c r="X235" s="8"/>
      <c r="Y235" s="8"/>
      <c r="Z235" s="529"/>
      <c r="AA235" s="529"/>
      <c r="AB235" s="529"/>
      <c r="AC235" s="529"/>
      <c r="AD235" s="529"/>
      <c r="AE235" s="529"/>
      <c r="AF235" s="529"/>
      <c r="AG235" s="529"/>
      <c r="AH235" s="529"/>
      <c r="AI235" s="529"/>
      <c r="AJ235" s="529"/>
      <c r="AK235" s="529"/>
      <c r="AL235" s="529"/>
      <c r="AM235" s="529"/>
      <c r="AN235" s="529"/>
      <c r="AO235" s="529"/>
      <c r="AP235" s="529"/>
      <c r="AQ235" s="529"/>
      <c r="AR235" s="529"/>
    </row>
    <row r="236" spans="1:44" s="89" customFormat="1" x14ac:dyDescent="0.35">
      <c r="A236" s="265" t="str">
        <f t="shared" si="58"/>
        <v>Eigenfaktor --&gt;</v>
      </c>
      <c r="B236"/>
      <c r="C236" s="89" t="str">
        <f>CONCATENATE(EFs_Medien[[#This Row],[Thema]]," - ",EFs_Medien[[#This Row],[Bezeichnung]])</f>
        <v xml:space="preserve">Medien - </v>
      </c>
      <c r="D236" s="109" t="str">
        <f>"Medien"</f>
        <v>Medien</v>
      </c>
      <c r="E236" s="529"/>
      <c r="F236" s="529"/>
      <c r="G236" s="530"/>
      <c r="H236" s="530"/>
      <c r="I236" s="530"/>
      <c r="J236" s="529"/>
      <c r="K236" s="529"/>
      <c r="L236" s="529"/>
      <c r="M236" s="529"/>
      <c r="N236" s="8" t="str">
        <f t="shared" si="59"/>
        <v>-</v>
      </c>
      <c r="O236" s="8" t="str">
        <f t="shared" si="59"/>
        <v>-</v>
      </c>
      <c r="P236" s="8" t="str">
        <f>"Kat. 1"</f>
        <v>Kat. 1</v>
      </c>
      <c r="Q236" s="529"/>
      <c r="R236" s="8"/>
      <c r="S236" s="8"/>
      <c r="T236" s="8"/>
      <c r="U236" s="8"/>
      <c r="V236" s="8"/>
      <c r="W236" s="8"/>
      <c r="X236" s="8"/>
      <c r="Y236" s="8"/>
      <c r="Z236" s="529"/>
      <c r="AA236" s="529"/>
      <c r="AB236" s="529"/>
      <c r="AC236" s="529"/>
      <c r="AD236" s="529"/>
      <c r="AE236" s="529"/>
      <c r="AF236" s="529"/>
      <c r="AG236" s="529"/>
      <c r="AH236" s="529"/>
      <c r="AI236" s="529"/>
      <c r="AJ236" s="529"/>
      <c r="AK236" s="529"/>
      <c r="AL236" s="529"/>
      <c r="AM236" s="529"/>
      <c r="AN236" s="529"/>
      <c r="AO236" s="529"/>
      <c r="AP236" s="529"/>
      <c r="AQ236" s="529"/>
      <c r="AR236" s="529"/>
    </row>
    <row r="237" spans="1:44" s="89" customFormat="1" x14ac:dyDescent="0.35">
      <c r="A237" s="265" t="str">
        <f t="shared" si="58"/>
        <v>Eigenfaktor --&gt;</v>
      </c>
      <c r="B237"/>
      <c r="C237" s="89" t="str">
        <f>CONCATENATE(EFs_Medien[[#This Row],[Thema]]," - ",EFs_Medien[[#This Row],[Bezeichnung]])</f>
        <v xml:space="preserve">Medien - </v>
      </c>
      <c r="D237" s="109" t="str">
        <f>"Medien"</f>
        <v>Medien</v>
      </c>
      <c r="E237" s="529"/>
      <c r="F237" s="529"/>
      <c r="G237" s="530"/>
      <c r="H237" s="530"/>
      <c r="I237" s="530"/>
      <c r="J237" s="529"/>
      <c r="K237" s="529"/>
      <c r="L237" s="529"/>
      <c r="M237" s="529"/>
      <c r="N237" s="8" t="str">
        <f t="shared" si="59"/>
        <v>-</v>
      </c>
      <c r="O237" s="8" t="str">
        <f t="shared" si="59"/>
        <v>-</v>
      </c>
      <c r="P237" s="8" t="str">
        <f>"Kat. 1"</f>
        <v>Kat. 1</v>
      </c>
      <c r="Q237" s="529"/>
      <c r="R237" s="8"/>
      <c r="S237" s="8"/>
      <c r="T237" s="8"/>
      <c r="U237" s="8"/>
      <c r="V237" s="8"/>
      <c r="W237" s="8"/>
      <c r="X237" s="8"/>
      <c r="Y237" s="8"/>
      <c r="Z237" s="529"/>
      <c r="AA237" s="529"/>
      <c r="AB237" s="529"/>
      <c r="AC237" s="529"/>
      <c r="AD237" s="529"/>
      <c r="AE237" s="529"/>
      <c r="AF237" s="529"/>
      <c r="AG237" s="529"/>
      <c r="AH237" s="529"/>
      <c r="AI237" s="529"/>
      <c r="AJ237" s="529"/>
      <c r="AK237" s="529"/>
      <c r="AL237" s="529"/>
      <c r="AM237" s="529"/>
      <c r="AN237" s="529"/>
      <c r="AO237" s="529"/>
      <c r="AP237" s="529"/>
      <c r="AQ237" s="529"/>
      <c r="AR237" s="529"/>
    </row>
    <row r="238" spans="1:44" s="89" customFormat="1" x14ac:dyDescent="0.35">
      <c r="A238" s="265" t="str">
        <f t="shared" si="58"/>
        <v>Eigenfaktor --&gt;</v>
      </c>
      <c r="B238"/>
      <c r="C238" s="89" t="str">
        <f>CONCATENATE(EFs_Medien[[#This Row],[Thema]]," - ",EFs_Medien[[#This Row],[Bezeichnung]])</f>
        <v xml:space="preserve">Medien - </v>
      </c>
      <c r="D238" s="109" t="str">
        <f>"Medien"</f>
        <v>Medien</v>
      </c>
      <c r="E238" s="529"/>
      <c r="F238" s="529"/>
      <c r="G238" s="530"/>
      <c r="H238" s="530"/>
      <c r="I238" s="530"/>
      <c r="J238" s="529"/>
      <c r="K238" s="529"/>
      <c r="L238" s="529"/>
      <c r="M238" s="529"/>
      <c r="N238" s="8" t="str">
        <f t="shared" si="59"/>
        <v>-</v>
      </c>
      <c r="O238" s="8" t="str">
        <f t="shared" si="59"/>
        <v>-</v>
      </c>
      <c r="P238" s="8" t="str">
        <f>"Kat. 1"</f>
        <v>Kat. 1</v>
      </c>
      <c r="Q238" s="529"/>
      <c r="R238" s="8"/>
      <c r="S238" s="8"/>
      <c r="T238" s="8"/>
      <c r="U238" s="8"/>
      <c r="V238" s="8"/>
      <c r="W238" s="8"/>
      <c r="X238" s="8"/>
      <c r="Y238" s="8"/>
      <c r="Z238" s="529"/>
      <c r="AA238" s="529"/>
      <c r="AB238" s="529"/>
      <c r="AC238" s="529"/>
      <c r="AD238" s="529"/>
      <c r="AE238" s="529"/>
      <c r="AF238" s="529"/>
      <c r="AG238" s="529"/>
      <c r="AH238" s="529"/>
      <c r="AI238" s="529"/>
      <c r="AJ238" s="529"/>
      <c r="AK238" s="529"/>
      <c r="AL238" s="529"/>
      <c r="AM238" s="529"/>
      <c r="AN238" s="529"/>
      <c r="AO238" s="529"/>
      <c r="AP238" s="529"/>
      <c r="AQ238" s="529"/>
      <c r="AR238" s="529"/>
    </row>
    <row r="239" spans="1:44" s="89" customFormat="1" x14ac:dyDescent="0.35">
      <c r="A239" s="265" t="str">
        <f t="shared" ref="A239:A242" si="60">"Eigenfaktor --&gt;"</f>
        <v>Eigenfaktor --&gt;</v>
      </c>
      <c r="B239"/>
      <c r="C239" s="89" t="str">
        <f>CONCATENATE(EFs_Medien[[#This Row],[Thema]]," - ",EFs_Medien[[#This Row],[Bezeichnung]])</f>
        <v xml:space="preserve">Medien - </v>
      </c>
      <c r="D239" s="109" t="str">
        <f t="shared" si="52"/>
        <v>Medien</v>
      </c>
      <c r="E239" s="529"/>
      <c r="F239" s="529"/>
      <c r="G239" s="530"/>
      <c r="H239" s="530"/>
      <c r="I239" s="530"/>
      <c r="J239" s="529"/>
      <c r="K239" s="529"/>
      <c r="L239" s="529"/>
      <c r="M239" s="529"/>
      <c r="N239" s="8" t="str">
        <f t="shared" si="55"/>
        <v>-</v>
      </c>
      <c r="O239" s="8" t="str">
        <f t="shared" si="56"/>
        <v>-</v>
      </c>
      <c r="P239" s="8" t="str">
        <f t="shared" si="57"/>
        <v>Kat. 1</v>
      </c>
      <c r="Q239" s="529"/>
      <c r="R239" s="8"/>
      <c r="S239" s="8"/>
      <c r="T239" s="8"/>
      <c r="U239" s="8"/>
      <c r="V239" s="8"/>
      <c r="W239" s="8"/>
      <c r="X239" s="8"/>
      <c r="Y239" s="8"/>
      <c r="Z239" s="529"/>
      <c r="AA239" s="529"/>
      <c r="AB239" s="529"/>
      <c r="AC239" s="529"/>
      <c r="AD239" s="529"/>
      <c r="AE239" s="529"/>
      <c r="AF239" s="529"/>
      <c r="AG239" s="529"/>
      <c r="AH239" s="529"/>
      <c r="AI239" s="529"/>
      <c r="AJ239" s="529"/>
      <c r="AK239" s="529"/>
      <c r="AL239" s="529"/>
      <c r="AM239" s="529"/>
      <c r="AN239" s="529"/>
      <c r="AO239" s="529"/>
      <c r="AP239" s="529"/>
      <c r="AQ239" s="529"/>
      <c r="AR239" s="529"/>
    </row>
    <row r="240" spans="1:44" s="89" customFormat="1" x14ac:dyDescent="0.35">
      <c r="A240" s="265" t="str">
        <f t="shared" si="60"/>
        <v>Eigenfaktor --&gt;</v>
      </c>
      <c r="B240"/>
      <c r="C240" s="89" t="str">
        <f>CONCATENATE(EFs_Medien[[#This Row],[Thema]]," - ",EFs_Medien[[#This Row],[Bezeichnung]])</f>
        <v xml:space="preserve">Medien - </v>
      </c>
      <c r="D240" s="109" t="str">
        <f t="shared" si="52"/>
        <v>Medien</v>
      </c>
      <c r="E240" s="529"/>
      <c r="F240" s="529"/>
      <c r="G240" s="530"/>
      <c r="H240" s="530"/>
      <c r="I240" s="530"/>
      <c r="J240" s="529"/>
      <c r="K240" s="529"/>
      <c r="L240" s="529"/>
      <c r="M240" s="529"/>
      <c r="N240" s="8" t="str">
        <f t="shared" si="55"/>
        <v>-</v>
      </c>
      <c r="O240" s="8" t="str">
        <f t="shared" si="56"/>
        <v>-</v>
      </c>
      <c r="P240" s="8" t="str">
        <f t="shared" si="57"/>
        <v>Kat. 1</v>
      </c>
      <c r="Q240" s="529"/>
      <c r="R240" s="8"/>
      <c r="S240" s="8"/>
      <c r="T240" s="8"/>
      <c r="U240" s="8"/>
      <c r="V240" s="8"/>
      <c r="W240" s="8"/>
      <c r="X240" s="8"/>
      <c r="Y240" s="8"/>
      <c r="Z240" s="529"/>
      <c r="AA240" s="529"/>
      <c r="AB240" s="529"/>
      <c r="AC240" s="529"/>
      <c r="AD240" s="529"/>
      <c r="AE240" s="529"/>
      <c r="AF240" s="529"/>
      <c r="AG240" s="529"/>
      <c r="AH240" s="529"/>
      <c r="AI240" s="529"/>
      <c r="AJ240" s="529"/>
      <c r="AK240" s="529"/>
      <c r="AL240" s="529"/>
      <c r="AM240" s="529"/>
      <c r="AN240" s="529"/>
      <c r="AO240" s="529"/>
      <c r="AP240" s="529"/>
      <c r="AQ240" s="529"/>
      <c r="AR240" s="529"/>
    </row>
    <row r="241" spans="1:44" s="89" customFormat="1" x14ac:dyDescent="0.35">
      <c r="A241" s="357" t="str">
        <f t="shared" si="60"/>
        <v>Eigenfaktor --&gt;</v>
      </c>
      <c r="C241" s="89" t="str">
        <f>CONCATENATE(EFs_Medien[[#This Row],[Thema]]," - ",EFs_Medien[[#This Row],[Bezeichnung]])</f>
        <v xml:space="preserve">Medien - </v>
      </c>
      <c r="D241" s="530" t="str">
        <f t="shared" si="52"/>
        <v>Medien</v>
      </c>
      <c r="E241" s="529"/>
      <c r="F241" s="529"/>
      <c r="G241" s="530"/>
      <c r="H241" s="530"/>
      <c r="I241" s="530"/>
      <c r="J241" s="529"/>
      <c r="K241" s="529"/>
      <c r="L241" s="529"/>
      <c r="M241" s="529"/>
      <c r="N241" s="529" t="str">
        <f t="shared" si="55"/>
        <v>-</v>
      </c>
      <c r="O241" s="529" t="str">
        <f t="shared" si="56"/>
        <v>-</v>
      </c>
      <c r="P241" s="529" t="str">
        <f t="shared" si="57"/>
        <v>Kat. 1</v>
      </c>
      <c r="Q241" s="529"/>
      <c r="R241" s="529"/>
      <c r="S241" s="529"/>
      <c r="T241" s="529"/>
      <c r="U241" s="529"/>
      <c r="V241" s="529"/>
      <c r="W241" s="529"/>
      <c r="X241" s="529"/>
      <c r="Y241" s="529"/>
      <c r="Z241" s="529"/>
      <c r="AA241" s="529"/>
      <c r="AB241" s="529"/>
      <c r="AC241" s="529"/>
      <c r="AD241" s="529"/>
      <c r="AE241" s="529"/>
      <c r="AF241" s="529"/>
      <c r="AG241" s="529"/>
      <c r="AH241" s="529"/>
      <c r="AI241" s="529"/>
      <c r="AJ241" s="529"/>
      <c r="AK241" s="529"/>
      <c r="AL241" s="529"/>
      <c r="AM241" s="529"/>
      <c r="AN241" s="529"/>
      <c r="AO241" s="529"/>
      <c r="AP241" s="529"/>
      <c r="AQ241" s="529"/>
      <c r="AR241" s="529"/>
    </row>
    <row r="242" spans="1:44" s="89" customFormat="1" x14ac:dyDescent="0.35">
      <c r="A242" s="357" t="str">
        <f t="shared" si="60"/>
        <v>Eigenfaktor --&gt;</v>
      </c>
      <c r="C242" s="89" t="str">
        <f>CONCATENATE(EFs_Medien[[#This Row],[Thema]]," - ",EFs_Medien[[#This Row],[Bezeichnung]])</f>
        <v xml:space="preserve">Medien - </v>
      </c>
      <c r="D242" s="530" t="str">
        <f t="shared" si="52"/>
        <v>Medien</v>
      </c>
      <c r="E242" s="529"/>
      <c r="F242" s="529"/>
      <c r="G242" s="530"/>
      <c r="H242" s="530"/>
      <c r="I242" s="530"/>
      <c r="J242" s="529"/>
      <c r="K242" s="529"/>
      <c r="L242" s="529"/>
      <c r="M242" s="529"/>
      <c r="N242" s="529" t="str">
        <f t="shared" si="55"/>
        <v>-</v>
      </c>
      <c r="O242" s="529" t="str">
        <f t="shared" si="56"/>
        <v>-</v>
      </c>
      <c r="P242" s="529" t="str">
        <f t="shared" si="57"/>
        <v>Kat. 1</v>
      </c>
      <c r="Q242" s="529"/>
      <c r="R242" s="529"/>
      <c r="S242" s="529"/>
      <c r="T242" s="529"/>
      <c r="U242" s="529"/>
      <c r="V242" s="529"/>
      <c r="W242" s="529"/>
      <c r="X242" s="529"/>
      <c r="Y242" s="529"/>
      <c r="Z242" s="529"/>
      <c r="AA242" s="529"/>
      <c r="AB242" s="529"/>
      <c r="AC242" s="529"/>
      <c r="AD242" s="529"/>
      <c r="AE242" s="529"/>
      <c r="AF242" s="529"/>
      <c r="AG242" s="529"/>
      <c r="AH242" s="529"/>
      <c r="AI242" s="529"/>
      <c r="AJ242" s="529"/>
      <c r="AK242" s="529"/>
      <c r="AL242" s="529"/>
      <c r="AM242" s="529"/>
      <c r="AN242" s="529"/>
      <c r="AO242" s="529"/>
      <c r="AP242" s="529"/>
      <c r="AQ242" s="529"/>
      <c r="AR242" s="529"/>
    </row>
    <row r="243" spans="1:44" s="89" customFormat="1" x14ac:dyDescent="0.35">
      <c r="D243" s="530"/>
      <c r="E243" s="529"/>
      <c r="F243" s="529"/>
      <c r="G243" s="530"/>
      <c r="H243" s="530"/>
      <c r="I243" s="530"/>
      <c r="J243" s="529"/>
      <c r="K243" s="529"/>
      <c r="L243" s="529"/>
      <c r="M243" s="529"/>
      <c r="N243" s="529"/>
      <c r="O243" s="529"/>
      <c r="P243" s="529"/>
      <c r="Q243" s="529"/>
      <c r="R243" s="529"/>
      <c r="S243" s="529"/>
      <c r="T243" s="529"/>
      <c r="U243" s="529"/>
      <c r="V243" s="529"/>
      <c r="W243" s="529"/>
      <c r="X243" s="529"/>
      <c r="Y243" s="529"/>
      <c r="Z243" s="529"/>
      <c r="AA243" s="529"/>
      <c r="AB243" s="529"/>
      <c r="AC243" s="529"/>
      <c r="AD243" s="529"/>
      <c r="AE243" s="529"/>
      <c r="AF243" s="529"/>
      <c r="AG243" s="529"/>
      <c r="AH243" s="529"/>
      <c r="AI243" s="529"/>
      <c r="AJ243" s="529"/>
      <c r="AK243" s="529"/>
      <c r="AL243" s="529"/>
      <c r="AM243" s="529"/>
      <c r="AN243" s="529"/>
      <c r="AO243" s="529"/>
      <c r="AP243" s="529"/>
      <c r="AQ243" s="529"/>
      <c r="AR243" s="529"/>
    </row>
    <row r="244" spans="1:44" ht="30" customHeight="1" x14ac:dyDescent="0.35">
      <c r="A244" s="685" t="s">
        <v>330</v>
      </c>
      <c r="B244" s="685"/>
      <c r="C244" s="151" t="s">
        <v>46</v>
      </c>
      <c r="D244" s="151" t="s">
        <v>0</v>
      </c>
      <c r="E244" s="151" t="s">
        <v>1</v>
      </c>
      <c r="F244" s="151" t="s">
        <v>53</v>
      </c>
      <c r="G244" s="151" t="s">
        <v>485</v>
      </c>
      <c r="H244" s="151" t="s">
        <v>486</v>
      </c>
      <c r="I244" s="151" t="s">
        <v>487</v>
      </c>
      <c r="J244" s="151" t="s">
        <v>433</v>
      </c>
      <c r="K244" s="151" t="s">
        <v>483</v>
      </c>
      <c r="L244" s="151" t="s">
        <v>2</v>
      </c>
      <c r="M244" s="151" t="s">
        <v>3</v>
      </c>
      <c r="N244" s="151" t="s">
        <v>4</v>
      </c>
      <c r="O244" s="151" t="s">
        <v>21</v>
      </c>
      <c r="P244" s="151" t="s">
        <v>277</v>
      </c>
      <c r="Q244" s="151" t="s">
        <v>278</v>
      </c>
      <c r="R244" s="151" t="s">
        <v>279</v>
      </c>
      <c r="S244" s="8"/>
    </row>
    <row r="245" spans="1:44" x14ac:dyDescent="0.35">
      <c r="A245" s="685"/>
      <c r="B245" s="685"/>
      <c r="C245" t="str">
        <f>CONCATENATE(EFs_Besuchende[[#This Row],[Thema]]," - ",EFs_Besuchende[[#This Row],[Bezeichnung]])</f>
        <v>Anreise_Besuchende - zu Fuß/Fahrrad</v>
      </c>
      <c r="D245" s="109" t="str">
        <f t="shared" ref="D245:D268" si="61">"Anreise_Besuchende"</f>
        <v>Anreise_Besuchende</v>
      </c>
      <c r="E245" s="8" t="s">
        <v>82</v>
      </c>
      <c r="F245" s="8" t="s">
        <v>34</v>
      </c>
      <c r="G245" s="109">
        <v>0</v>
      </c>
      <c r="H245" s="109">
        <v>0</v>
      </c>
      <c r="I245" s="109">
        <v>0</v>
      </c>
      <c r="J245" s="8">
        <v>0</v>
      </c>
      <c r="K245" s="109" t="s">
        <v>125</v>
      </c>
      <c r="L245" s="8" t="s">
        <v>125</v>
      </c>
      <c r="M245" s="8" t="s">
        <v>125</v>
      </c>
      <c r="N245" s="8" t="s">
        <v>125</v>
      </c>
      <c r="O245" s="8" t="s">
        <v>125</v>
      </c>
      <c r="P245" s="8" t="str">
        <f t="shared" ref="P245:Q258" si="62">"-"</f>
        <v>-</v>
      </c>
      <c r="Q245" s="8" t="str">
        <f t="shared" si="62"/>
        <v>-</v>
      </c>
      <c r="R245" s="8" t="str">
        <f t="shared" ref="R245:R258" si="63">"Kat. 9"</f>
        <v>Kat. 9</v>
      </c>
      <c r="S245" s="8"/>
    </row>
    <row r="246" spans="1:44" x14ac:dyDescent="0.35">
      <c r="A246"/>
      <c r="B246"/>
      <c r="C246" t="str">
        <f>CONCATENATE(EFs_Besuchende[[#This Row],[Thema]]," - ",EFs_Besuchende[[#This Row],[Bezeichnung]])</f>
        <v>Anreise_Besuchende - ÖPNV</v>
      </c>
      <c r="D246" s="109" t="str">
        <f t="shared" si="61"/>
        <v>Anreise_Besuchende</v>
      </c>
      <c r="E246" s="8" t="s">
        <v>32</v>
      </c>
      <c r="F246" s="8" t="s">
        <v>34</v>
      </c>
      <c r="G246" s="109">
        <v>0</v>
      </c>
      <c r="H246" s="109">
        <v>0</v>
      </c>
      <c r="I246" s="109">
        <v>5.9676199999999999E-2</v>
      </c>
      <c r="J246" s="8">
        <v>0</v>
      </c>
      <c r="K246" s="109" t="s">
        <v>125</v>
      </c>
      <c r="L246" s="8" t="s">
        <v>125</v>
      </c>
      <c r="M246" s="8" t="s">
        <v>125</v>
      </c>
      <c r="N246" s="8" t="s">
        <v>664</v>
      </c>
      <c r="O246" s="8" t="s">
        <v>693</v>
      </c>
      <c r="P246" s="8" t="str">
        <f t="shared" si="62"/>
        <v>-</v>
      </c>
      <c r="Q246" s="8" t="str">
        <f t="shared" si="62"/>
        <v>-</v>
      </c>
      <c r="R246" s="8" t="str">
        <f t="shared" si="63"/>
        <v>Kat. 9</v>
      </c>
      <c r="S246" s="8"/>
    </row>
    <row r="247" spans="1:44" x14ac:dyDescent="0.35">
      <c r="A247"/>
      <c r="B247"/>
      <c r="C247" t="str">
        <f>CONCATENATE(EFs_Besuchende[[#This Row],[Thema]]," - ",EFs_Besuchende[[#This Row],[Bezeichnung]])</f>
        <v>Anreise_Besuchende - PKW (Durchschnitt)</v>
      </c>
      <c r="D247" s="109" t="str">
        <f t="shared" si="61"/>
        <v>Anreise_Besuchende</v>
      </c>
      <c r="E247" s="8" t="s">
        <v>426</v>
      </c>
      <c r="F247" s="8" t="s">
        <v>34</v>
      </c>
      <c r="G247" s="109">
        <v>0</v>
      </c>
      <c r="H247" s="109">
        <v>0</v>
      </c>
      <c r="I247" s="109">
        <v>0.16417570000000001</v>
      </c>
      <c r="J247" s="8">
        <v>0</v>
      </c>
      <c r="K247" s="8">
        <v>1.4</v>
      </c>
      <c r="L247" s="8" t="s">
        <v>125</v>
      </c>
      <c r="M247" s="8" t="s">
        <v>125</v>
      </c>
      <c r="N247" s="153" t="s">
        <v>662</v>
      </c>
      <c r="O247" s="8" t="s">
        <v>690</v>
      </c>
      <c r="P247" s="8" t="str">
        <f t="shared" si="62"/>
        <v>-</v>
      </c>
      <c r="Q247" s="8" t="str">
        <f t="shared" si="62"/>
        <v>-</v>
      </c>
      <c r="R247" s="8" t="str">
        <f t="shared" si="63"/>
        <v>Kat. 9</v>
      </c>
      <c r="S247" s="8"/>
    </row>
    <row r="248" spans="1:44" x14ac:dyDescent="0.35">
      <c r="A248"/>
      <c r="B248"/>
      <c r="C248" t="str">
        <f>CONCATENATE(EFs_Besuchende[[#This Row],[Thema]]," - ",EFs_Besuchende[[#This Row],[Bezeichnung]])</f>
        <v>Anreise_Besuchende - PKW (Verbrennungsmotor)</v>
      </c>
      <c r="D248" s="109" t="str">
        <f>"Anreise_Besuchende"</f>
        <v>Anreise_Besuchende</v>
      </c>
      <c r="E248" s="8" t="s">
        <v>427</v>
      </c>
      <c r="F248" s="8" t="s">
        <v>34</v>
      </c>
      <c r="G248" s="109">
        <v>0</v>
      </c>
      <c r="H248" s="109">
        <v>0</v>
      </c>
      <c r="I248" s="109">
        <v>0.16970469999999999</v>
      </c>
      <c r="J248" s="8">
        <v>0</v>
      </c>
      <c r="K248" s="8">
        <v>1.4</v>
      </c>
      <c r="L248" s="8"/>
      <c r="M248" s="8"/>
      <c r="N248" s="153" t="s">
        <v>664</v>
      </c>
      <c r="O248" s="8" t="s">
        <v>691</v>
      </c>
      <c r="P248" s="8" t="str">
        <f t="shared" si="62"/>
        <v>-</v>
      </c>
      <c r="Q248" s="8" t="str">
        <f t="shared" si="62"/>
        <v>-</v>
      </c>
      <c r="R248" s="8" t="str">
        <f t="shared" si="63"/>
        <v>Kat. 9</v>
      </c>
      <c r="S248" s="8"/>
    </row>
    <row r="249" spans="1:44" x14ac:dyDescent="0.35">
      <c r="A249"/>
      <c r="B249"/>
      <c r="C249" t="str">
        <f>CONCATENATE(EFs_Besuchende[[#This Row],[Thema]]," - ",EFs_Besuchende[[#This Row],[Bezeichnung]])</f>
        <v>Anreise_Besuchende - PKW (elektrisch)</v>
      </c>
      <c r="D249" s="109" t="str">
        <f>"Anreise_Besuchende"</f>
        <v>Anreise_Besuchende</v>
      </c>
      <c r="E249" s="8" t="s">
        <v>428</v>
      </c>
      <c r="F249" s="8" t="s">
        <v>34</v>
      </c>
      <c r="G249" s="109">
        <v>0</v>
      </c>
      <c r="H249" s="109">
        <v>0</v>
      </c>
      <c r="I249" s="109">
        <v>6.9548399999999996E-2</v>
      </c>
      <c r="J249" s="8">
        <v>0</v>
      </c>
      <c r="K249" s="8">
        <v>1.4</v>
      </c>
      <c r="L249" s="8"/>
      <c r="M249" s="8"/>
      <c r="N249" s="153" t="s">
        <v>662</v>
      </c>
      <c r="O249" s="8" t="s">
        <v>719</v>
      </c>
      <c r="P249" s="8" t="str">
        <f t="shared" si="62"/>
        <v>-</v>
      </c>
      <c r="Q249" s="8" t="str">
        <f t="shared" si="62"/>
        <v>-</v>
      </c>
      <c r="R249" s="8" t="str">
        <f t="shared" si="63"/>
        <v>Kat. 9</v>
      </c>
      <c r="S249" s="8"/>
    </row>
    <row r="250" spans="1:44" x14ac:dyDescent="0.35">
      <c r="A250"/>
      <c r="B250"/>
      <c r="C250" t="str">
        <f>CONCATENATE(EFs_Besuchende[[#This Row],[Thema]]," - ",EFs_Besuchende[[#This Row],[Bezeichnung]])</f>
        <v>Anreise_Besuchende - Reisebus</v>
      </c>
      <c r="D250" s="109" t="str">
        <f>"Anreise_Besuchende"</f>
        <v>Anreise_Besuchende</v>
      </c>
      <c r="E250" s="8" t="s">
        <v>31</v>
      </c>
      <c r="F250" s="8" t="s">
        <v>34</v>
      </c>
      <c r="G250" s="109">
        <v>0</v>
      </c>
      <c r="H250" s="109">
        <v>0</v>
      </c>
      <c r="I250" s="109">
        <v>2.99741E-2</v>
      </c>
      <c r="J250" s="8">
        <v>0</v>
      </c>
      <c r="K250" s="109" t="s">
        <v>125</v>
      </c>
      <c r="L250" s="8" t="s">
        <v>125</v>
      </c>
      <c r="M250" s="8" t="s">
        <v>125</v>
      </c>
      <c r="N250" s="8" t="s">
        <v>662</v>
      </c>
      <c r="O250" s="8" t="s">
        <v>695</v>
      </c>
      <c r="P250" s="8" t="str">
        <f t="shared" si="62"/>
        <v>-</v>
      </c>
      <c r="Q250" s="8" t="str">
        <f t="shared" si="62"/>
        <v>-</v>
      </c>
      <c r="R250" s="8" t="str">
        <f t="shared" si="63"/>
        <v>Kat. 9</v>
      </c>
      <c r="S250" s="8"/>
    </row>
    <row r="251" spans="1:44" x14ac:dyDescent="0.35">
      <c r="A251"/>
      <c r="B251"/>
      <c r="C251" t="str">
        <f>CONCATENATE(EFs_Besuchende[[#This Row],[Thema]]," - ",EFs_Besuchende[[#This Row],[Bezeichnung]])</f>
        <v>Anreise_Besuchende - Bahn Fernverkehr</v>
      </c>
      <c r="D251" s="109" t="str">
        <f t="shared" si="61"/>
        <v>Anreise_Besuchende</v>
      </c>
      <c r="E251" s="8" t="s">
        <v>33</v>
      </c>
      <c r="F251" s="8" t="s">
        <v>34</v>
      </c>
      <c r="G251" s="109">
        <v>0</v>
      </c>
      <c r="H251" s="109">
        <v>0</v>
      </c>
      <c r="I251" s="109">
        <v>2.5660700000000002E-2</v>
      </c>
      <c r="J251" s="8">
        <v>0</v>
      </c>
      <c r="K251" s="109" t="s">
        <v>125</v>
      </c>
      <c r="L251" s="8" t="s">
        <v>125</v>
      </c>
      <c r="M251" s="8" t="s">
        <v>125</v>
      </c>
      <c r="N251" s="8" t="s">
        <v>662</v>
      </c>
      <c r="O251" s="8" t="s">
        <v>696</v>
      </c>
      <c r="P251" s="8" t="str">
        <f t="shared" si="62"/>
        <v>-</v>
      </c>
      <c r="Q251" s="8" t="str">
        <f t="shared" si="62"/>
        <v>-</v>
      </c>
      <c r="R251" s="8" t="str">
        <f t="shared" si="63"/>
        <v>Kat. 9</v>
      </c>
      <c r="S251" s="8"/>
    </row>
    <row r="252" spans="1:44" x14ac:dyDescent="0.35">
      <c r="A252"/>
      <c r="B252"/>
      <c r="C252" t="str">
        <f>CONCATENATE(EFs_Besuchende[[#This Row],[Thema]]," - ",EFs_Besuchende[[#This Row],[Bezeichnung]])</f>
        <v>Anreise_Besuchende - Flug (Inland) - Durchschnitt</v>
      </c>
      <c r="D252" s="109" t="str">
        <f t="shared" si="61"/>
        <v>Anreise_Besuchende</v>
      </c>
      <c r="E252" s="8" t="s">
        <v>474</v>
      </c>
      <c r="F252" s="8" t="s">
        <v>34</v>
      </c>
      <c r="G252" s="109">
        <v>0</v>
      </c>
      <c r="H252" s="109">
        <v>0</v>
      </c>
      <c r="I252" s="109">
        <v>0.16902</v>
      </c>
      <c r="J252" s="8">
        <v>9.3759999999999996E-2</v>
      </c>
      <c r="K252" s="109" t="s">
        <v>125</v>
      </c>
      <c r="L252" s="8" t="s">
        <v>125</v>
      </c>
      <c r="M252" s="8" t="s">
        <v>125</v>
      </c>
      <c r="N252" s="8" t="s">
        <v>697</v>
      </c>
      <c r="O252" s="8" t="s">
        <v>811</v>
      </c>
      <c r="P252" s="8" t="str">
        <f t="shared" si="62"/>
        <v>-</v>
      </c>
      <c r="Q252" s="8" t="str">
        <f t="shared" si="62"/>
        <v>-</v>
      </c>
      <c r="R252" s="8" t="str">
        <f t="shared" si="63"/>
        <v>Kat. 9</v>
      </c>
      <c r="S252" s="8"/>
    </row>
    <row r="253" spans="1:44" x14ac:dyDescent="0.35">
      <c r="A253"/>
      <c r="B253"/>
      <c r="C253" t="str">
        <f>CONCATENATE(EFs_Besuchende[[#This Row],[Thema]]," - ",EFs_Besuchende[[#This Row],[Bezeichnung]])</f>
        <v>Anreise_Besuchende - Flug (innereuropäisch) - Durchschnitt</v>
      </c>
      <c r="D253" s="109" t="str">
        <f t="shared" si="61"/>
        <v>Anreise_Besuchende</v>
      </c>
      <c r="E253" s="8" t="s">
        <v>477</v>
      </c>
      <c r="F253" s="8" t="s">
        <v>34</v>
      </c>
      <c r="G253" s="109">
        <v>0</v>
      </c>
      <c r="H253" s="109">
        <v>0</v>
      </c>
      <c r="I253" s="109">
        <v>9.8449999999999996E-2</v>
      </c>
      <c r="J253" s="8">
        <v>5.2269999999999997E-2</v>
      </c>
      <c r="K253" s="109" t="s">
        <v>125</v>
      </c>
      <c r="L253" s="8" t="s">
        <v>125</v>
      </c>
      <c r="M253" s="8" t="s">
        <v>125</v>
      </c>
      <c r="N253" s="8" t="s">
        <v>697</v>
      </c>
      <c r="O253" s="8" t="s">
        <v>812</v>
      </c>
      <c r="P253" s="8" t="str">
        <f t="shared" si="62"/>
        <v>-</v>
      </c>
      <c r="Q253" s="8" t="str">
        <f t="shared" si="62"/>
        <v>-</v>
      </c>
      <c r="R253" s="8" t="str">
        <f t="shared" si="63"/>
        <v>Kat. 9</v>
      </c>
      <c r="S253" s="8"/>
    </row>
    <row r="254" spans="1:44" x14ac:dyDescent="0.35">
      <c r="A254"/>
      <c r="B254"/>
      <c r="C254" t="str">
        <f>CONCATENATE(EFs_Besuchende[[#This Row],[Thema]]," - ",EFs_Besuchende[[#This Row],[Bezeichnung]])</f>
        <v>Anreise_Besuchende - Flug (innereuropäisch) - Economy</v>
      </c>
      <c r="D254" s="109" t="str">
        <f>"Anreise_Besuchende"</f>
        <v>Anreise_Besuchende</v>
      </c>
      <c r="E254" s="8" t="s">
        <v>479</v>
      </c>
      <c r="F254" s="8" t="s">
        <v>34</v>
      </c>
      <c r="G254" s="109">
        <v>0</v>
      </c>
      <c r="H254" s="109">
        <v>0</v>
      </c>
      <c r="I254" s="109">
        <v>9.6839999999999996E-2</v>
      </c>
      <c r="J254" s="8">
        <v>5.1409999999999997E-2</v>
      </c>
      <c r="K254" s="109" t="s">
        <v>125</v>
      </c>
      <c r="L254" s="8" t="s">
        <v>125</v>
      </c>
      <c r="M254" s="8" t="s">
        <v>125</v>
      </c>
      <c r="N254" s="8" t="s">
        <v>697</v>
      </c>
      <c r="O254" s="8" t="s">
        <v>813</v>
      </c>
      <c r="P254" s="8" t="str">
        <f t="shared" si="62"/>
        <v>-</v>
      </c>
      <c r="Q254" s="8" t="str">
        <f t="shared" si="62"/>
        <v>-</v>
      </c>
      <c r="R254" s="8" t="str">
        <f t="shared" si="63"/>
        <v>Kat. 9</v>
      </c>
      <c r="S254" s="8"/>
    </row>
    <row r="255" spans="1:44" x14ac:dyDescent="0.35">
      <c r="A255"/>
      <c r="B255"/>
      <c r="C255" t="str">
        <f>CONCATENATE(EFs_Besuchende[[#This Row],[Thema]]," - ",EFs_Besuchende[[#This Row],[Bezeichnung]])</f>
        <v>Anreise_Besuchende - Flug (innereuropäisch) - Business</v>
      </c>
      <c r="D255" s="109" t="str">
        <f>"Anreise_Besuchende"</f>
        <v>Anreise_Besuchende</v>
      </c>
      <c r="E255" s="8" t="s">
        <v>480</v>
      </c>
      <c r="F255" s="8" t="s">
        <v>34</v>
      </c>
      <c r="G255" s="109">
        <v>0</v>
      </c>
      <c r="H255" s="109">
        <v>0</v>
      </c>
      <c r="I255" s="109">
        <v>0.14524999999999999</v>
      </c>
      <c r="J255" s="8">
        <v>7.7109999999999998E-2</v>
      </c>
      <c r="K255" s="109" t="s">
        <v>125</v>
      </c>
      <c r="L255" s="8" t="s">
        <v>125</v>
      </c>
      <c r="M255" s="8" t="s">
        <v>125</v>
      </c>
      <c r="N255" s="8" t="s">
        <v>697</v>
      </c>
      <c r="O255" s="8" t="s">
        <v>814</v>
      </c>
      <c r="P255" s="8" t="str">
        <f t="shared" si="62"/>
        <v>-</v>
      </c>
      <c r="Q255" s="8" t="str">
        <f t="shared" si="62"/>
        <v>-</v>
      </c>
      <c r="R255" s="8" t="str">
        <f t="shared" si="63"/>
        <v>Kat. 9</v>
      </c>
      <c r="S255" s="8"/>
    </row>
    <row r="256" spans="1:44" x14ac:dyDescent="0.35">
      <c r="A256"/>
      <c r="B256"/>
      <c r="C256" t="str">
        <f>CONCATENATE(EFs_Besuchende[[#This Row],[Thema]]," - ",EFs_Besuchende[[#This Row],[Bezeichnung]])</f>
        <v>Anreise_Besuchende - Flug (international) - Durchschnitt</v>
      </c>
      <c r="D256" s="109" t="str">
        <f t="shared" si="61"/>
        <v>Anreise_Besuchende</v>
      </c>
      <c r="E256" s="8" t="s">
        <v>478</v>
      </c>
      <c r="F256" s="8" t="s">
        <v>34</v>
      </c>
      <c r="G256" s="109">
        <v>0</v>
      </c>
      <c r="H256" s="109">
        <v>0</v>
      </c>
      <c r="I256" s="109">
        <v>0.12256</v>
      </c>
      <c r="J256" s="8">
        <v>6.2390000000000001E-2</v>
      </c>
      <c r="K256" s="109" t="s">
        <v>125</v>
      </c>
      <c r="L256" s="8" t="s">
        <v>125</v>
      </c>
      <c r="M256" s="8" t="s">
        <v>125</v>
      </c>
      <c r="N256" s="8" t="s">
        <v>697</v>
      </c>
      <c r="O256" s="8" t="s">
        <v>815</v>
      </c>
      <c r="P256" s="8" t="str">
        <f t="shared" si="62"/>
        <v>-</v>
      </c>
      <c r="Q256" s="8" t="str">
        <f t="shared" si="62"/>
        <v>-</v>
      </c>
      <c r="R256" s="8" t="str">
        <f t="shared" si="63"/>
        <v>Kat. 9</v>
      </c>
      <c r="S256" s="8"/>
    </row>
    <row r="257" spans="1:44" x14ac:dyDescent="0.35">
      <c r="A257"/>
      <c r="B257"/>
      <c r="C257" t="str">
        <f>CONCATENATE(EFs_Besuchende[[#This Row],[Thema]]," - ",EFs_Besuchende[[#This Row],[Bezeichnung]])</f>
        <v>Anreise_Besuchende - Flug (international) - Economy</v>
      </c>
      <c r="D257" s="109" t="str">
        <f>"Anreise_Besuchende"</f>
        <v>Anreise_Besuchende</v>
      </c>
      <c r="E257" s="8" t="s">
        <v>481</v>
      </c>
      <c r="F257" s="8" t="s">
        <v>34</v>
      </c>
      <c r="G257" s="109">
        <v>0</v>
      </c>
      <c r="H257" s="109">
        <v>0</v>
      </c>
      <c r="I257" s="109">
        <v>9.3869999999999995E-2</v>
      </c>
      <c r="J257" s="8">
        <v>4.7780000000000003E-2</v>
      </c>
      <c r="K257" s="109" t="s">
        <v>125</v>
      </c>
      <c r="L257" s="8" t="s">
        <v>125</v>
      </c>
      <c r="M257" s="8" t="s">
        <v>125</v>
      </c>
      <c r="N257" s="8" t="s">
        <v>697</v>
      </c>
      <c r="O257" s="8" t="s">
        <v>816</v>
      </c>
      <c r="P257" s="8" t="str">
        <f t="shared" si="62"/>
        <v>-</v>
      </c>
      <c r="Q257" s="8" t="str">
        <f t="shared" si="62"/>
        <v>-</v>
      </c>
      <c r="R257" s="8" t="str">
        <f t="shared" si="63"/>
        <v>Kat. 9</v>
      </c>
      <c r="S257" s="8"/>
    </row>
    <row r="258" spans="1:44" x14ac:dyDescent="0.35">
      <c r="A258"/>
      <c r="B258"/>
      <c r="C258" t="str">
        <f>CONCATENATE(EFs_Besuchende[[#This Row],[Thema]]," - ",EFs_Besuchende[[#This Row],[Bezeichnung]])</f>
        <v>Anreise_Besuchende - Flug (international) - Business</v>
      </c>
      <c r="D258" s="109" t="str">
        <f>"Anreise_Besuchende"</f>
        <v>Anreise_Besuchende</v>
      </c>
      <c r="E258" s="8" t="s">
        <v>482</v>
      </c>
      <c r="F258" s="8" t="s">
        <v>34</v>
      </c>
      <c r="G258" s="109">
        <v>0</v>
      </c>
      <c r="H258" s="109">
        <v>0</v>
      </c>
      <c r="I258" s="109">
        <v>0.2722</v>
      </c>
      <c r="J258" s="8">
        <v>0.13857</v>
      </c>
      <c r="K258" s="109" t="s">
        <v>125</v>
      </c>
      <c r="L258" s="8" t="s">
        <v>125</v>
      </c>
      <c r="M258" s="8" t="s">
        <v>125</v>
      </c>
      <c r="N258" s="8" t="s">
        <v>697</v>
      </c>
      <c r="O258" s="8" t="s">
        <v>817</v>
      </c>
      <c r="P258" s="8" t="str">
        <f t="shared" si="62"/>
        <v>-</v>
      </c>
      <c r="Q258" s="8" t="str">
        <f t="shared" si="62"/>
        <v>-</v>
      </c>
      <c r="R258" s="8" t="str">
        <f t="shared" si="63"/>
        <v>Kat. 9</v>
      </c>
      <c r="S258" s="8"/>
    </row>
    <row r="259" spans="1:44" s="89" customFormat="1" x14ac:dyDescent="0.35">
      <c r="A259" s="265" t="str">
        <f>"Eigenfaktor --&gt;"</f>
        <v>Eigenfaktor --&gt;</v>
      </c>
      <c r="B259"/>
      <c r="C259" s="89" t="str">
        <f>CONCATENATE(EFs_Besuchende[[#This Row],[Thema]]," - ",EFs_Besuchende[[#This Row],[Bezeichnung]])</f>
        <v xml:space="preserve">Anreise_Besuchende - </v>
      </c>
      <c r="D259" s="109" t="str">
        <f t="shared" si="61"/>
        <v>Anreise_Besuchende</v>
      </c>
      <c r="E259" s="529"/>
      <c r="F259" s="529"/>
      <c r="G259" s="530"/>
      <c r="H259" s="530"/>
      <c r="I259" s="530"/>
      <c r="J259" s="530"/>
      <c r="K259" s="530"/>
      <c r="L259" s="529"/>
      <c r="M259" s="529"/>
      <c r="N259" s="529"/>
      <c r="O259" s="529"/>
      <c r="P259" s="8" t="str">
        <f t="shared" ref="P259:P268" si="64">"-"</f>
        <v>-</v>
      </c>
      <c r="Q259" s="8" t="str">
        <f t="shared" ref="Q259:Q268" si="65">"-"</f>
        <v>-</v>
      </c>
      <c r="R259" s="8" t="str">
        <f t="shared" ref="R259:R268" si="66">"Kat. 9"</f>
        <v>Kat. 9</v>
      </c>
      <c r="S259" s="529"/>
      <c r="T259" s="8"/>
      <c r="U259" s="8"/>
      <c r="V259" s="8"/>
      <c r="W259" s="8"/>
      <c r="X259" s="8"/>
      <c r="Y259" s="8"/>
      <c r="Z259" s="8"/>
      <c r="AA259" s="8"/>
      <c r="AB259" s="529"/>
      <c r="AC259" s="529"/>
      <c r="AD259" s="529"/>
      <c r="AE259" s="529"/>
      <c r="AF259" s="529"/>
      <c r="AG259" s="529"/>
      <c r="AH259" s="529"/>
      <c r="AI259" s="529"/>
      <c r="AJ259" s="529"/>
      <c r="AK259" s="529"/>
      <c r="AL259" s="529"/>
      <c r="AM259" s="529"/>
      <c r="AN259" s="529"/>
      <c r="AO259" s="529"/>
      <c r="AP259" s="529"/>
      <c r="AQ259" s="529"/>
      <c r="AR259" s="529"/>
    </row>
    <row r="260" spans="1:44" s="89" customFormat="1" x14ac:dyDescent="0.35">
      <c r="A260" s="265" t="str">
        <f t="shared" ref="A260:A264" si="67">"Eigenfaktor --&gt;"</f>
        <v>Eigenfaktor --&gt;</v>
      </c>
      <c r="B260"/>
      <c r="C260" s="89" t="str">
        <f>CONCATENATE(EFs_Besuchende[[#This Row],[Thema]]," - ",EFs_Besuchende[[#This Row],[Bezeichnung]])</f>
        <v xml:space="preserve">Anreise_Besuchende - </v>
      </c>
      <c r="D260" s="109" t="str">
        <f>"Anreise_Besuchende"</f>
        <v>Anreise_Besuchende</v>
      </c>
      <c r="E260" s="529"/>
      <c r="F260" s="529"/>
      <c r="G260" s="530"/>
      <c r="H260" s="530"/>
      <c r="I260" s="530"/>
      <c r="J260" s="530"/>
      <c r="K260" s="530"/>
      <c r="L260" s="529"/>
      <c r="M260" s="529"/>
      <c r="N260" s="529"/>
      <c r="O260" s="529"/>
      <c r="P260" s="8" t="str">
        <f t="shared" ref="P260:Q264" si="68">"-"</f>
        <v>-</v>
      </c>
      <c r="Q260" s="8" t="str">
        <f t="shared" si="68"/>
        <v>-</v>
      </c>
      <c r="R260" s="8" t="str">
        <f>"Kat. 9"</f>
        <v>Kat. 9</v>
      </c>
      <c r="S260" s="529"/>
      <c r="T260" s="8"/>
      <c r="U260" s="8"/>
      <c r="V260" s="8"/>
      <c r="W260" s="8"/>
      <c r="X260" s="8"/>
      <c r="Y260" s="8"/>
      <c r="Z260" s="8"/>
      <c r="AA260" s="8"/>
      <c r="AB260" s="529"/>
      <c r="AC260" s="529"/>
      <c r="AD260" s="529"/>
      <c r="AE260" s="529"/>
      <c r="AF260" s="529"/>
      <c r="AG260" s="529"/>
      <c r="AH260" s="529"/>
      <c r="AI260" s="529"/>
      <c r="AJ260" s="529"/>
      <c r="AK260" s="529"/>
      <c r="AL260" s="529"/>
      <c r="AM260" s="529"/>
      <c r="AN260" s="529"/>
      <c r="AO260" s="529"/>
      <c r="AP260" s="529"/>
      <c r="AQ260" s="529"/>
      <c r="AR260" s="529"/>
    </row>
    <row r="261" spans="1:44" s="89" customFormat="1" x14ac:dyDescent="0.35">
      <c r="A261" s="265" t="str">
        <f t="shared" si="67"/>
        <v>Eigenfaktor --&gt;</v>
      </c>
      <c r="B261"/>
      <c r="C261" s="89" t="str">
        <f>CONCATENATE(EFs_Besuchende[[#This Row],[Thema]]," - ",EFs_Besuchende[[#This Row],[Bezeichnung]])</f>
        <v xml:space="preserve">Anreise_Besuchende - </v>
      </c>
      <c r="D261" s="109" t="str">
        <f>"Anreise_Besuchende"</f>
        <v>Anreise_Besuchende</v>
      </c>
      <c r="E261" s="529"/>
      <c r="F261" s="529"/>
      <c r="G261" s="530"/>
      <c r="H261" s="530"/>
      <c r="I261" s="530"/>
      <c r="J261" s="530"/>
      <c r="K261" s="530"/>
      <c r="L261" s="529"/>
      <c r="M261" s="529"/>
      <c r="N261" s="529"/>
      <c r="O261" s="529"/>
      <c r="P261" s="8" t="str">
        <f t="shared" si="68"/>
        <v>-</v>
      </c>
      <c r="Q261" s="8" t="str">
        <f t="shared" si="68"/>
        <v>-</v>
      </c>
      <c r="R261" s="8" t="str">
        <f>"Kat. 9"</f>
        <v>Kat. 9</v>
      </c>
      <c r="S261" s="529"/>
      <c r="T261" s="8"/>
      <c r="U261" s="8"/>
      <c r="V261" s="8"/>
      <c r="W261" s="8"/>
      <c r="X261" s="8"/>
      <c r="Y261" s="8"/>
      <c r="Z261" s="8"/>
      <c r="AA261" s="8"/>
      <c r="AB261" s="529"/>
      <c r="AC261" s="529"/>
      <c r="AD261" s="529"/>
      <c r="AE261" s="529"/>
      <c r="AF261" s="529"/>
      <c r="AG261" s="529"/>
      <c r="AH261" s="529"/>
      <c r="AI261" s="529"/>
      <c r="AJ261" s="529"/>
      <c r="AK261" s="529"/>
      <c r="AL261" s="529"/>
      <c r="AM261" s="529"/>
      <c r="AN261" s="529"/>
      <c r="AO261" s="529"/>
      <c r="AP261" s="529"/>
      <c r="AQ261" s="529"/>
      <c r="AR261" s="529"/>
    </row>
    <row r="262" spans="1:44" s="89" customFormat="1" x14ac:dyDescent="0.35">
      <c r="A262" s="265" t="str">
        <f t="shared" si="67"/>
        <v>Eigenfaktor --&gt;</v>
      </c>
      <c r="B262"/>
      <c r="C262" s="89" t="str">
        <f>CONCATENATE(EFs_Besuchende[[#This Row],[Thema]]," - ",EFs_Besuchende[[#This Row],[Bezeichnung]])</f>
        <v xml:space="preserve">Anreise_Besuchende - </v>
      </c>
      <c r="D262" s="109" t="str">
        <f>"Anreise_Besuchende"</f>
        <v>Anreise_Besuchende</v>
      </c>
      <c r="E262" s="529"/>
      <c r="F262" s="529"/>
      <c r="G262" s="530"/>
      <c r="H262" s="530"/>
      <c r="I262" s="530"/>
      <c r="J262" s="530"/>
      <c r="K262" s="530"/>
      <c r="L262" s="529"/>
      <c r="M262" s="529"/>
      <c r="N262" s="529"/>
      <c r="O262" s="529"/>
      <c r="P262" s="8" t="str">
        <f t="shared" si="68"/>
        <v>-</v>
      </c>
      <c r="Q262" s="8" t="str">
        <f t="shared" si="68"/>
        <v>-</v>
      </c>
      <c r="R262" s="8" t="str">
        <f>"Kat. 9"</f>
        <v>Kat. 9</v>
      </c>
      <c r="S262" s="529"/>
      <c r="T262" s="8"/>
      <c r="U262" s="8"/>
      <c r="V262" s="8"/>
      <c r="W262" s="8"/>
      <c r="X262" s="8"/>
      <c r="Y262" s="8"/>
      <c r="Z262" s="8"/>
      <c r="AA262" s="8"/>
      <c r="AB262" s="529"/>
      <c r="AC262" s="529"/>
      <c r="AD262" s="529"/>
      <c r="AE262" s="529"/>
      <c r="AF262" s="529"/>
      <c r="AG262" s="529"/>
      <c r="AH262" s="529"/>
      <c r="AI262" s="529"/>
      <c r="AJ262" s="529"/>
      <c r="AK262" s="529"/>
      <c r="AL262" s="529"/>
      <c r="AM262" s="529"/>
      <c r="AN262" s="529"/>
      <c r="AO262" s="529"/>
      <c r="AP262" s="529"/>
      <c r="AQ262" s="529"/>
      <c r="AR262" s="529"/>
    </row>
    <row r="263" spans="1:44" s="89" customFormat="1" x14ac:dyDescent="0.35">
      <c r="A263" s="265" t="str">
        <f t="shared" si="67"/>
        <v>Eigenfaktor --&gt;</v>
      </c>
      <c r="B263"/>
      <c r="C263" s="89" t="str">
        <f>CONCATENATE(EFs_Besuchende[[#This Row],[Thema]]," - ",EFs_Besuchende[[#This Row],[Bezeichnung]])</f>
        <v xml:space="preserve">Anreise_Besuchende - </v>
      </c>
      <c r="D263" s="109" t="str">
        <f>"Anreise_Besuchende"</f>
        <v>Anreise_Besuchende</v>
      </c>
      <c r="E263" s="529"/>
      <c r="F263" s="529"/>
      <c r="G263" s="530"/>
      <c r="H263" s="530"/>
      <c r="I263" s="530"/>
      <c r="J263" s="530"/>
      <c r="K263" s="530"/>
      <c r="L263" s="529"/>
      <c r="M263" s="529"/>
      <c r="N263" s="529"/>
      <c r="O263" s="529"/>
      <c r="P263" s="8" t="str">
        <f t="shared" si="68"/>
        <v>-</v>
      </c>
      <c r="Q263" s="8" t="str">
        <f t="shared" si="68"/>
        <v>-</v>
      </c>
      <c r="R263" s="8" t="str">
        <f>"Kat. 9"</f>
        <v>Kat. 9</v>
      </c>
      <c r="S263" s="529"/>
      <c r="T263" s="8"/>
      <c r="U263" s="8"/>
      <c r="V263" s="8"/>
      <c r="W263" s="8"/>
      <c r="X263" s="8"/>
      <c r="Y263" s="8"/>
      <c r="Z263" s="8"/>
      <c r="AA263" s="8"/>
      <c r="AB263" s="529"/>
      <c r="AC263" s="529"/>
      <c r="AD263" s="529"/>
      <c r="AE263" s="529"/>
      <c r="AF263" s="529"/>
      <c r="AG263" s="529"/>
      <c r="AH263" s="529"/>
      <c r="AI263" s="529"/>
      <c r="AJ263" s="529"/>
      <c r="AK263" s="529"/>
      <c r="AL263" s="529"/>
      <c r="AM263" s="529"/>
      <c r="AN263" s="529"/>
      <c r="AO263" s="529"/>
      <c r="AP263" s="529"/>
      <c r="AQ263" s="529"/>
      <c r="AR263" s="529"/>
    </row>
    <row r="264" spans="1:44" s="89" customFormat="1" x14ac:dyDescent="0.35">
      <c r="A264" s="265" t="str">
        <f t="shared" si="67"/>
        <v>Eigenfaktor --&gt;</v>
      </c>
      <c r="B264"/>
      <c r="C264" s="89" t="str">
        <f>CONCATENATE(EFs_Besuchende[[#This Row],[Thema]]," - ",EFs_Besuchende[[#This Row],[Bezeichnung]])</f>
        <v xml:space="preserve">Anreise_Besuchende - </v>
      </c>
      <c r="D264" s="109" t="str">
        <f>"Anreise_Besuchende"</f>
        <v>Anreise_Besuchende</v>
      </c>
      <c r="E264" s="529"/>
      <c r="F264" s="529"/>
      <c r="G264" s="530"/>
      <c r="H264" s="530"/>
      <c r="I264" s="530"/>
      <c r="J264" s="530"/>
      <c r="K264" s="530"/>
      <c r="L264" s="529"/>
      <c r="M264" s="529"/>
      <c r="N264" s="529"/>
      <c r="O264" s="529"/>
      <c r="P264" s="8" t="str">
        <f t="shared" si="68"/>
        <v>-</v>
      </c>
      <c r="Q264" s="8" t="str">
        <f t="shared" si="68"/>
        <v>-</v>
      </c>
      <c r="R264" s="8" t="str">
        <f>"Kat. 9"</f>
        <v>Kat. 9</v>
      </c>
      <c r="S264" s="529"/>
      <c r="T264" s="8"/>
      <c r="U264" s="8"/>
      <c r="V264" s="8"/>
      <c r="W264" s="8"/>
      <c r="X264" s="8"/>
      <c r="Y264" s="8"/>
      <c r="Z264" s="8"/>
      <c r="AA264" s="8"/>
      <c r="AB264" s="529"/>
      <c r="AC264" s="529"/>
      <c r="AD264" s="529"/>
      <c r="AE264" s="529"/>
      <c r="AF264" s="529"/>
      <c r="AG264" s="529"/>
      <c r="AH264" s="529"/>
      <c r="AI264" s="529"/>
      <c r="AJ264" s="529"/>
      <c r="AK264" s="529"/>
      <c r="AL264" s="529"/>
      <c r="AM264" s="529"/>
      <c r="AN264" s="529"/>
      <c r="AO264" s="529"/>
      <c r="AP264" s="529"/>
      <c r="AQ264" s="529"/>
      <c r="AR264" s="529"/>
    </row>
    <row r="265" spans="1:44" s="89" customFormat="1" x14ac:dyDescent="0.35">
      <c r="A265" s="265" t="str">
        <f t="shared" ref="A265:A268" si="69">"Eigenfaktor --&gt;"</f>
        <v>Eigenfaktor --&gt;</v>
      </c>
      <c r="B265"/>
      <c r="C265" s="89" t="str">
        <f>CONCATENATE(EFs_Besuchende[[#This Row],[Thema]]," - ",EFs_Besuchende[[#This Row],[Bezeichnung]])</f>
        <v xml:space="preserve">Anreise_Besuchende - </v>
      </c>
      <c r="D265" s="109" t="str">
        <f t="shared" si="61"/>
        <v>Anreise_Besuchende</v>
      </c>
      <c r="E265" s="529"/>
      <c r="F265" s="529"/>
      <c r="G265" s="530"/>
      <c r="H265" s="530"/>
      <c r="I265" s="530"/>
      <c r="J265" s="530"/>
      <c r="K265" s="530"/>
      <c r="L265" s="529"/>
      <c r="M265" s="529"/>
      <c r="N265" s="529"/>
      <c r="O265" s="529"/>
      <c r="P265" s="8" t="str">
        <f t="shared" si="64"/>
        <v>-</v>
      </c>
      <c r="Q265" s="8" t="str">
        <f t="shared" si="65"/>
        <v>-</v>
      </c>
      <c r="R265" s="8" t="str">
        <f t="shared" si="66"/>
        <v>Kat. 9</v>
      </c>
      <c r="S265" s="529"/>
      <c r="T265" s="8"/>
      <c r="U265" s="8"/>
      <c r="V265" s="8"/>
      <c r="W265" s="8"/>
      <c r="X265" s="8"/>
      <c r="Y265" s="8"/>
      <c r="Z265" s="8"/>
      <c r="AA265" s="8"/>
      <c r="AB265" s="529"/>
      <c r="AC265" s="529"/>
      <c r="AD265" s="529"/>
      <c r="AE265" s="529"/>
      <c r="AF265" s="529"/>
      <c r="AG265" s="529"/>
      <c r="AH265" s="529"/>
      <c r="AI265" s="529"/>
      <c r="AJ265" s="529"/>
      <c r="AK265" s="529"/>
      <c r="AL265" s="529"/>
      <c r="AM265" s="529"/>
      <c r="AN265" s="529"/>
      <c r="AO265" s="529"/>
      <c r="AP265" s="529"/>
      <c r="AQ265" s="529"/>
      <c r="AR265" s="529"/>
    </row>
    <row r="266" spans="1:44" s="89" customFormat="1" x14ac:dyDescent="0.35">
      <c r="A266" s="265" t="str">
        <f t="shared" si="69"/>
        <v>Eigenfaktor --&gt;</v>
      </c>
      <c r="B266"/>
      <c r="C266" s="89" t="str">
        <f>CONCATENATE(EFs_Besuchende[[#This Row],[Thema]]," - ",EFs_Besuchende[[#This Row],[Bezeichnung]])</f>
        <v xml:space="preserve">Anreise_Besuchende - </v>
      </c>
      <c r="D266" s="109" t="str">
        <f t="shared" si="61"/>
        <v>Anreise_Besuchende</v>
      </c>
      <c r="E266" s="529"/>
      <c r="F266" s="529"/>
      <c r="G266" s="530"/>
      <c r="H266" s="530"/>
      <c r="I266" s="530"/>
      <c r="J266" s="530"/>
      <c r="K266" s="530"/>
      <c r="L266" s="529"/>
      <c r="M266" s="529"/>
      <c r="N266" s="529"/>
      <c r="O266" s="529"/>
      <c r="P266" s="8" t="str">
        <f t="shared" si="64"/>
        <v>-</v>
      </c>
      <c r="Q266" s="8" t="str">
        <f t="shared" si="65"/>
        <v>-</v>
      </c>
      <c r="R266" s="8" t="str">
        <f t="shared" si="66"/>
        <v>Kat. 9</v>
      </c>
      <c r="S266" s="529"/>
      <c r="T266" s="8"/>
      <c r="U266" s="8"/>
      <c r="V266" s="8"/>
      <c r="W266" s="8"/>
      <c r="X266" s="8"/>
      <c r="Y266" s="8"/>
      <c r="Z266" s="8"/>
      <c r="AA266" s="8"/>
      <c r="AB266" s="529"/>
      <c r="AC266" s="529"/>
      <c r="AD266" s="529"/>
      <c r="AE266" s="529"/>
      <c r="AF266" s="529"/>
      <c r="AG266" s="529"/>
      <c r="AH266" s="529"/>
      <c r="AI266" s="529"/>
      <c r="AJ266" s="529"/>
      <c r="AK266" s="529"/>
      <c r="AL266" s="529"/>
      <c r="AM266" s="529"/>
      <c r="AN266" s="529"/>
      <c r="AO266" s="529"/>
      <c r="AP266" s="529"/>
      <c r="AQ266" s="529"/>
      <c r="AR266" s="529"/>
    </row>
    <row r="267" spans="1:44" s="89" customFormat="1" x14ac:dyDescent="0.35">
      <c r="A267" s="357" t="str">
        <f t="shared" si="69"/>
        <v>Eigenfaktor --&gt;</v>
      </c>
      <c r="C267" s="89" t="str">
        <f>CONCATENATE(EFs_Besuchende[[#This Row],[Thema]]," - ",EFs_Besuchende[[#This Row],[Bezeichnung]])</f>
        <v xml:space="preserve">Anreise_Besuchende - </v>
      </c>
      <c r="D267" s="530" t="str">
        <f t="shared" si="61"/>
        <v>Anreise_Besuchende</v>
      </c>
      <c r="E267" s="529"/>
      <c r="F267" s="529"/>
      <c r="G267" s="530"/>
      <c r="H267" s="530"/>
      <c r="I267" s="530"/>
      <c r="J267" s="530"/>
      <c r="K267" s="530"/>
      <c r="L267" s="529"/>
      <c r="M267" s="529"/>
      <c r="N267" s="529"/>
      <c r="O267" s="529"/>
      <c r="P267" s="529" t="str">
        <f t="shared" si="64"/>
        <v>-</v>
      </c>
      <c r="Q267" s="529" t="str">
        <f t="shared" si="65"/>
        <v>-</v>
      </c>
      <c r="R267" s="529" t="str">
        <f t="shared" si="66"/>
        <v>Kat. 9</v>
      </c>
      <c r="S267" s="529"/>
      <c r="T267" s="529"/>
      <c r="U267" s="529"/>
      <c r="V267" s="529"/>
      <c r="W267" s="529"/>
      <c r="X267" s="529"/>
      <c r="Y267" s="529"/>
      <c r="Z267" s="529"/>
      <c r="AA267" s="529"/>
      <c r="AB267" s="529"/>
      <c r="AC267" s="529"/>
      <c r="AD267" s="529"/>
      <c r="AE267" s="529"/>
      <c r="AF267" s="529"/>
      <c r="AG267" s="529"/>
      <c r="AH267" s="529"/>
      <c r="AI267" s="529"/>
      <c r="AJ267" s="529"/>
      <c r="AK267" s="529"/>
      <c r="AL267" s="529"/>
      <c r="AM267" s="529"/>
      <c r="AN267" s="529"/>
      <c r="AO267" s="529"/>
      <c r="AP267" s="529"/>
      <c r="AQ267" s="529"/>
      <c r="AR267" s="529"/>
    </row>
    <row r="268" spans="1:44" s="89" customFormat="1" x14ac:dyDescent="0.35">
      <c r="A268" s="357" t="str">
        <f t="shared" si="69"/>
        <v>Eigenfaktor --&gt;</v>
      </c>
      <c r="C268" s="89" t="str">
        <f>CONCATENATE(EFs_Besuchende[[#This Row],[Thema]]," - ",EFs_Besuchende[[#This Row],[Bezeichnung]])</f>
        <v xml:space="preserve">Anreise_Besuchende - </v>
      </c>
      <c r="D268" s="530" t="str">
        <f t="shared" si="61"/>
        <v>Anreise_Besuchende</v>
      </c>
      <c r="E268" s="529"/>
      <c r="F268" s="529"/>
      <c r="G268" s="530"/>
      <c r="H268" s="530"/>
      <c r="I268" s="530"/>
      <c r="J268" s="530"/>
      <c r="K268" s="530"/>
      <c r="L268" s="529"/>
      <c r="M268" s="529"/>
      <c r="N268" s="529"/>
      <c r="O268" s="529"/>
      <c r="P268" s="529" t="str">
        <f t="shared" si="64"/>
        <v>-</v>
      </c>
      <c r="Q268" s="529" t="str">
        <f t="shared" si="65"/>
        <v>-</v>
      </c>
      <c r="R268" s="529" t="str">
        <f t="shared" si="66"/>
        <v>Kat. 9</v>
      </c>
      <c r="S268" s="529"/>
      <c r="T268" s="529"/>
      <c r="U268" s="529"/>
      <c r="V268" s="529"/>
      <c r="W268" s="529"/>
      <c r="X268" s="529"/>
      <c r="Y268" s="529"/>
      <c r="Z268" s="529"/>
      <c r="AA268" s="529"/>
      <c r="AB268" s="529"/>
      <c r="AC268" s="529"/>
      <c r="AD268" s="529"/>
      <c r="AE268" s="529"/>
      <c r="AF268" s="529"/>
      <c r="AG268" s="529"/>
      <c r="AH268" s="529"/>
      <c r="AI268" s="529"/>
      <c r="AJ268" s="529"/>
      <c r="AK268" s="529"/>
      <c r="AL268" s="529"/>
      <c r="AM268" s="529"/>
      <c r="AN268" s="529"/>
      <c r="AO268" s="529"/>
      <c r="AP268" s="529"/>
      <c r="AQ268" s="529"/>
      <c r="AR268" s="529"/>
    </row>
    <row r="269" spans="1:44" s="89" customFormat="1" x14ac:dyDescent="0.35">
      <c r="D269" s="530"/>
      <c r="E269" s="529"/>
      <c r="F269" s="529"/>
      <c r="G269" s="530"/>
      <c r="H269" s="530"/>
      <c r="I269" s="530"/>
      <c r="J269" s="529"/>
      <c r="K269" s="529"/>
      <c r="L269" s="529"/>
      <c r="M269" s="529"/>
      <c r="N269" s="529"/>
      <c r="O269" s="529"/>
      <c r="P269" s="529"/>
      <c r="Q269" s="529"/>
      <c r="R269" s="529"/>
      <c r="S269" s="529"/>
      <c r="T269" s="529"/>
      <c r="U269" s="529"/>
      <c r="V269" s="529"/>
      <c r="W269" s="529"/>
      <c r="X269" s="529"/>
      <c r="Y269" s="529"/>
      <c r="Z269" s="529"/>
      <c r="AA269" s="529"/>
      <c r="AB269" s="529"/>
      <c r="AC269" s="529"/>
      <c r="AD269" s="529"/>
      <c r="AE269" s="529"/>
      <c r="AF269" s="529"/>
      <c r="AG269" s="529"/>
      <c r="AH269" s="529"/>
      <c r="AI269" s="529"/>
      <c r="AJ269" s="529"/>
      <c r="AK269" s="529"/>
      <c r="AL269" s="529"/>
      <c r="AM269" s="529"/>
      <c r="AN269" s="529"/>
      <c r="AO269" s="529"/>
      <c r="AP269" s="529"/>
      <c r="AQ269" s="529"/>
      <c r="AR269" s="529"/>
    </row>
    <row r="270" spans="1:44" ht="30" customHeight="1" x14ac:dyDescent="0.35">
      <c r="A270" s="685" t="s">
        <v>329</v>
      </c>
      <c r="B270" s="685"/>
      <c r="C270" s="151" t="s">
        <v>46</v>
      </c>
      <c r="D270" s="151" t="s">
        <v>0</v>
      </c>
      <c r="E270" s="151" t="s">
        <v>1</v>
      </c>
      <c r="F270" s="151" t="s">
        <v>53</v>
      </c>
      <c r="G270" s="151" t="s">
        <v>485</v>
      </c>
      <c r="H270" s="151" t="s">
        <v>486</v>
      </c>
      <c r="I270" s="151" t="s">
        <v>487</v>
      </c>
      <c r="J270" s="151" t="s">
        <v>2</v>
      </c>
      <c r="K270" s="151" t="s">
        <v>3</v>
      </c>
      <c r="L270" s="151" t="s">
        <v>4</v>
      </c>
      <c r="M270" s="151" t="s">
        <v>21</v>
      </c>
      <c r="N270" s="151" t="s">
        <v>277</v>
      </c>
      <c r="O270" s="151" t="s">
        <v>278</v>
      </c>
      <c r="P270" s="151" t="s">
        <v>279</v>
      </c>
      <c r="Q270" s="8"/>
      <c r="R270" s="8"/>
      <c r="S270" s="8"/>
    </row>
    <row r="271" spans="1:44" x14ac:dyDescent="0.35">
      <c r="A271" s="685"/>
      <c r="B271" s="685"/>
      <c r="C271" t="str">
        <f>CONCATENATE(EFs_IT[[#This Row],[Thema]]," - ",EFs_IT[[#This Row],[Bezeichnung]])</f>
        <v>IT_Dienstleistungen - Cloud Storage</v>
      </c>
      <c r="D271" s="109" t="str">
        <f t="shared" ref="D271:D282" si="70">"IT_Dienstleistungen"</f>
        <v>IT_Dienstleistungen</v>
      </c>
      <c r="E271" s="8" t="s">
        <v>37</v>
      </c>
      <c r="F271" s="8" t="s">
        <v>38</v>
      </c>
      <c r="G271" s="109">
        <v>0</v>
      </c>
      <c r="H271" s="109">
        <v>0</v>
      </c>
      <c r="I271" s="109">
        <v>0.13558000000000001</v>
      </c>
      <c r="J271" s="8" t="s">
        <v>125</v>
      </c>
      <c r="K271" s="8" t="s">
        <v>125</v>
      </c>
      <c r="L271" s="8" t="s">
        <v>664</v>
      </c>
      <c r="M271" s="8" t="s">
        <v>720</v>
      </c>
      <c r="N271" s="8" t="str">
        <f t="shared" ref="N271:N282" si="71">"-"</f>
        <v>-</v>
      </c>
      <c r="O271" s="8" t="str">
        <f t="shared" ref="O271:O282" si="72">"-"</f>
        <v>-</v>
      </c>
      <c r="P271" s="8" t="str">
        <f t="shared" ref="P271:P282" si="73">"Kat. 1"</f>
        <v>Kat. 1</v>
      </c>
      <c r="Q271" s="8"/>
      <c r="R271" s="8"/>
      <c r="S271" s="8"/>
    </row>
    <row r="272" spans="1:44" x14ac:dyDescent="0.35">
      <c r="A272"/>
      <c r="B272"/>
      <c r="C272" t="str">
        <f>CONCATENATE(EFs_IT[[#This Row],[Thema]]," - ",EFs_IT[[#This Row],[Bezeichnung]])</f>
        <v>IT_Dienstleistungen - Extern ermittelte Emissionen</v>
      </c>
      <c r="D272" s="109" t="str">
        <f t="shared" si="70"/>
        <v>IT_Dienstleistungen</v>
      </c>
      <c r="E272" s="8" t="s">
        <v>130</v>
      </c>
      <c r="F272" s="8" t="s">
        <v>63</v>
      </c>
      <c r="G272" s="109">
        <v>0</v>
      </c>
      <c r="H272" s="109">
        <v>0</v>
      </c>
      <c r="I272" s="109">
        <v>1</v>
      </c>
      <c r="J272" s="8" t="s">
        <v>125</v>
      </c>
      <c r="K272" s="8" t="s">
        <v>125</v>
      </c>
      <c r="L272" s="8" t="s">
        <v>125</v>
      </c>
      <c r="M272" s="8" t="s">
        <v>125</v>
      </c>
      <c r="N272" s="8" t="str">
        <f t="shared" si="71"/>
        <v>-</v>
      </c>
      <c r="O272" s="8" t="str">
        <f t="shared" si="72"/>
        <v>-</v>
      </c>
      <c r="P272" s="8" t="str">
        <f t="shared" si="73"/>
        <v>Kat. 1</v>
      </c>
      <c r="Q272" s="8"/>
      <c r="R272" s="8"/>
      <c r="S272" s="8"/>
    </row>
    <row r="273" spans="1:44" s="89" customFormat="1" x14ac:dyDescent="0.35">
      <c r="A273" s="265" t="str">
        <f>"Eigenfaktor --&gt;"</f>
        <v>Eigenfaktor --&gt;</v>
      </c>
      <c r="B273"/>
      <c r="C273" s="89" t="str">
        <f>CONCATENATE(EFs_IT[[#This Row],[Thema]]," - ",EFs_IT[[#This Row],[Bezeichnung]])</f>
        <v xml:space="preserve">IT_Dienstleistungen - </v>
      </c>
      <c r="D273" s="109" t="str">
        <f t="shared" si="70"/>
        <v>IT_Dienstleistungen</v>
      </c>
      <c r="E273" s="529"/>
      <c r="F273" s="529"/>
      <c r="G273" s="530"/>
      <c r="H273" s="530"/>
      <c r="I273" s="530"/>
      <c r="J273" s="529"/>
      <c r="K273" s="529"/>
      <c r="L273" s="529"/>
      <c r="M273" s="529"/>
      <c r="N273" s="8" t="str">
        <f t="shared" si="71"/>
        <v>-</v>
      </c>
      <c r="O273" s="8" t="str">
        <f t="shared" si="72"/>
        <v>-</v>
      </c>
      <c r="P273" s="8" t="str">
        <f t="shared" si="73"/>
        <v>Kat. 1</v>
      </c>
      <c r="Q273" s="529"/>
      <c r="R273" s="8"/>
      <c r="S273" s="8"/>
      <c r="T273" s="8"/>
      <c r="U273" s="8"/>
      <c r="V273" s="8"/>
      <c r="W273" s="8"/>
      <c r="X273" s="8"/>
      <c r="Y273" s="8"/>
      <c r="Z273" s="529"/>
      <c r="AA273" s="529"/>
      <c r="AB273" s="529"/>
      <c r="AC273" s="529"/>
      <c r="AD273" s="529"/>
      <c r="AE273" s="529"/>
      <c r="AF273" s="529"/>
      <c r="AG273" s="529"/>
      <c r="AH273" s="529"/>
      <c r="AI273" s="529"/>
      <c r="AJ273" s="529"/>
      <c r="AK273" s="529"/>
      <c r="AL273" s="529"/>
      <c r="AM273" s="529"/>
      <c r="AN273" s="529"/>
      <c r="AO273" s="529"/>
      <c r="AP273" s="529"/>
      <c r="AQ273" s="529"/>
      <c r="AR273" s="529"/>
    </row>
    <row r="274" spans="1:44" s="89" customFormat="1" x14ac:dyDescent="0.35">
      <c r="A274" s="265" t="str">
        <f t="shared" ref="A274:A278" si="74">"Eigenfaktor --&gt;"</f>
        <v>Eigenfaktor --&gt;</v>
      </c>
      <c r="B274"/>
      <c r="C274" s="89" t="str">
        <f>CONCATENATE(EFs_IT[[#This Row],[Thema]]," - ",EFs_IT[[#This Row],[Bezeichnung]])</f>
        <v xml:space="preserve">IT_Dienstleistungen - </v>
      </c>
      <c r="D274" s="109" t="str">
        <f>"IT_Dienstleistungen"</f>
        <v>IT_Dienstleistungen</v>
      </c>
      <c r="E274" s="529"/>
      <c r="F274" s="529"/>
      <c r="G274" s="530"/>
      <c r="H274" s="530"/>
      <c r="I274" s="530"/>
      <c r="J274" s="529"/>
      <c r="K274" s="529"/>
      <c r="L274" s="529"/>
      <c r="M274" s="529"/>
      <c r="N274" s="8" t="str">
        <f t="shared" ref="N274:O278" si="75">"-"</f>
        <v>-</v>
      </c>
      <c r="O274" s="8" t="str">
        <f t="shared" si="75"/>
        <v>-</v>
      </c>
      <c r="P274" s="8" t="str">
        <f>"Kat. 1"</f>
        <v>Kat. 1</v>
      </c>
      <c r="Q274" s="529"/>
      <c r="R274" s="8"/>
      <c r="S274" s="8"/>
      <c r="T274" s="8"/>
      <c r="U274" s="8"/>
      <c r="V274" s="8"/>
      <c r="W274" s="8"/>
      <c r="X274" s="8"/>
      <c r="Y274" s="8"/>
      <c r="Z274" s="529"/>
      <c r="AA274" s="529"/>
      <c r="AB274" s="529"/>
      <c r="AC274" s="529"/>
      <c r="AD274" s="529"/>
      <c r="AE274" s="529"/>
      <c r="AF274" s="529"/>
      <c r="AG274" s="529"/>
      <c r="AH274" s="529"/>
      <c r="AI274" s="529"/>
      <c r="AJ274" s="529"/>
      <c r="AK274" s="529"/>
      <c r="AL274" s="529"/>
      <c r="AM274" s="529"/>
      <c r="AN274" s="529"/>
      <c r="AO274" s="529"/>
      <c r="AP274" s="529"/>
      <c r="AQ274" s="529"/>
      <c r="AR274" s="529"/>
    </row>
    <row r="275" spans="1:44" s="89" customFormat="1" x14ac:dyDescent="0.35">
      <c r="A275" s="265" t="str">
        <f t="shared" si="74"/>
        <v>Eigenfaktor --&gt;</v>
      </c>
      <c r="B275"/>
      <c r="C275" s="89" t="str">
        <f>CONCATENATE(EFs_IT[[#This Row],[Thema]]," - ",EFs_IT[[#This Row],[Bezeichnung]])</f>
        <v xml:space="preserve">IT_Dienstleistungen - </v>
      </c>
      <c r="D275" s="109" t="str">
        <f>"IT_Dienstleistungen"</f>
        <v>IT_Dienstleistungen</v>
      </c>
      <c r="E275" s="529"/>
      <c r="F275" s="529"/>
      <c r="G275" s="530"/>
      <c r="H275" s="530"/>
      <c r="I275" s="530"/>
      <c r="J275" s="529"/>
      <c r="K275" s="529"/>
      <c r="L275" s="529"/>
      <c r="M275" s="529"/>
      <c r="N275" s="8" t="str">
        <f t="shared" si="75"/>
        <v>-</v>
      </c>
      <c r="O275" s="8" t="str">
        <f t="shared" si="75"/>
        <v>-</v>
      </c>
      <c r="P275" s="8" t="str">
        <f>"Kat. 1"</f>
        <v>Kat. 1</v>
      </c>
      <c r="Q275" s="529"/>
      <c r="R275" s="8"/>
      <c r="S275" s="8"/>
      <c r="T275" s="8"/>
      <c r="U275" s="8"/>
      <c r="V275" s="8"/>
      <c r="W275" s="8"/>
      <c r="X275" s="8"/>
      <c r="Y275" s="8"/>
      <c r="Z275" s="529"/>
      <c r="AA275" s="529"/>
      <c r="AB275" s="529"/>
      <c r="AC275" s="529"/>
      <c r="AD275" s="529"/>
      <c r="AE275" s="529"/>
      <c r="AF275" s="529"/>
      <c r="AG275" s="529"/>
      <c r="AH275" s="529"/>
      <c r="AI275" s="529"/>
      <c r="AJ275" s="529"/>
      <c r="AK275" s="529"/>
      <c r="AL275" s="529"/>
      <c r="AM275" s="529"/>
      <c r="AN275" s="529"/>
      <c r="AO275" s="529"/>
      <c r="AP275" s="529"/>
      <c r="AQ275" s="529"/>
      <c r="AR275" s="529"/>
    </row>
    <row r="276" spans="1:44" s="89" customFormat="1" x14ac:dyDescent="0.35">
      <c r="A276" s="265" t="str">
        <f t="shared" si="74"/>
        <v>Eigenfaktor --&gt;</v>
      </c>
      <c r="B276"/>
      <c r="C276" s="89" t="str">
        <f>CONCATENATE(EFs_IT[[#This Row],[Thema]]," - ",EFs_IT[[#This Row],[Bezeichnung]])</f>
        <v xml:space="preserve">IT_Dienstleistungen - </v>
      </c>
      <c r="D276" s="109" t="str">
        <f>"IT_Dienstleistungen"</f>
        <v>IT_Dienstleistungen</v>
      </c>
      <c r="E276" s="529"/>
      <c r="F276" s="529"/>
      <c r="G276" s="530"/>
      <c r="H276" s="530"/>
      <c r="I276" s="530"/>
      <c r="J276" s="529"/>
      <c r="K276" s="529"/>
      <c r="L276" s="529"/>
      <c r="M276" s="529"/>
      <c r="N276" s="8" t="str">
        <f t="shared" si="75"/>
        <v>-</v>
      </c>
      <c r="O276" s="8" t="str">
        <f t="shared" si="75"/>
        <v>-</v>
      </c>
      <c r="P276" s="8" t="str">
        <f>"Kat. 1"</f>
        <v>Kat. 1</v>
      </c>
      <c r="Q276" s="529"/>
      <c r="R276" s="8"/>
      <c r="S276" s="8"/>
      <c r="T276" s="8"/>
      <c r="U276" s="8"/>
      <c r="V276" s="8"/>
      <c r="W276" s="8"/>
      <c r="X276" s="8"/>
      <c r="Y276" s="8"/>
      <c r="Z276" s="529"/>
      <c r="AA276" s="529"/>
      <c r="AB276" s="529"/>
      <c r="AC276" s="529"/>
      <c r="AD276" s="529"/>
      <c r="AE276" s="529"/>
      <c r="AF276" s="529"/>
      <c r="AG276" s="529"/>
      <c r="AH276" s="529"/>
      <c r="AI276" s="529"/>
      <c r="AJ276" s="529"/>
      <c r="AK276" s="529"/>
      <c r="AL276" s="529"/>
      <c r="AM276" s="529"/>
      <c r="AN276" s="529"/>
      <c r="AO276" s="529"/>
      <c r="AP276" s="529"/>
      <c r="AQ276" s="529"/>
      <c r="AR276" s="529"/>
    </row>
    <row r="277" spans="1:44" s="89" customFormat="1" x14ac:dyDescent="0.35">
      <c r="A277" s="265" t="str">
        <f t="shared" si="74"/>
        <v>Eigenfaktor --&gt;</v>
      </c>
      <c r="B277"/>
      <c r="C277" s="89" t="str">
        <f>CONCATENATE(EFs_IT[[#This Row],[Thema]]," - ",EFs_IT[[#This Row],[Bezeichnung]])</f>
        <v xml:space="preserve">IT_Dienstleistungen - </v>
      </c>
      <c r="D277" s="109" t="str">
        <f>"IT_Dienstleistungen"</f>
        <v>IT_Dienstleistungen</v>
      </c>
      <c r="E277" s="529"/>
      <c r="F277" s="529"/>
      <c r="G277" s="530"/>
      <c r="H277" s="530"/>
      <c r="I277" s="530"/>
      <c r="J277" s="529"/>
      <c r="K277" s="529"/>
      <c r="L277" s="529"/>
      <c r="M277" s="529"/>
      <c r="N277" s="8" t="str">
        <f t="shared" si="75"/>
        <v>-</v>
      </c>
      <c r="O277" s="8" t="str">
        <f t="shared" si="75"/>
        <v>-</v>
      </c>
      <c r="P277" s="8" t="str">
        <f>"Kat. 1"</f>
        <v>Kat. 1</v>
      </c>
      <c r="Q277" s="529"/>
      <c r="R277" s="8"/>
      <c r="S277" s="8"/>
      <c r="T277" s="8"/>
      <c r="U277" s="8"/>
      <c r="V277" s="8"/>
      <c r="W277" s="8"/>
      <c r="X277" s="8"/>
      <c r="Y277" s="8"/>
      <c r="Z277" s="529"/>
      <c r="AA277" s="529"/>
      <c r="AB277" s="529"/>
      <c r="AC277" s="529"/>
      <c r="AD277" s="529"/>
      <c r="AE277" s="529"/>
      <c r="AF277" s="529"/>
      <c r="AG277" s="529"/>
      <c r="AH277" s="529"/>
      <c r="AI277" s="529"/>
      <c r="AJ277" s="529"/>
      <c r="AK277" s="529"/>
      <c r="AL277" s="529"/>
      <c r="AM277" s="529"/>
      <c r="AN277" s="529"/>
      <c r="AO277" s="529"/>
      <c r="AP277" s="529"/>
      <c r="AQ277" s="529"/>
      <c r="AR277" s="529"/>
    </row>
    <row r="278" spans="1:44" s="89" customFormat="1" x14ac:dyDescent="0.35">
      <c r="A278" s="265" t="str">
        <f t="shared" si="74"/>
        <v>Eigenfaktor --&gt;</v>
      </c>
      <c r="B278"/>
      <c r="C278" s="89" t="str">
        <f>CONCATENATE(EFs_IT[[#This Row],[Thema]]," - ",EFs_IT[[#This Row],[Bezeichnung]])</f>
        <v xml:space="preserve">IT_Dienstleistungen - </v>
      </c>
      <c r="D278" s="109" t="str">
        <f>"IT_Dienstleistungen"</f>
        <v>IT_Dienstleistungen</v>
      </c>
      <c r="E278" s="529"/>
      <c r="F278" s="529"/>
      <c r="G278" s="530"/>
      <c r="H278" s="530"/>
      <c r="I278" s="530"/>
      <c r="J278" s="529"/>
      <c r="K278" s="529"/>
      <c r="L278" s="529"/>
      <c r="M278" s="529"/>
      <c r="N278" s="8" t="str">
        <f t="shared" si="75"/>
        <v>-</v>
      </c>
      <c r="O278" s="8" t="str">
        <f t="shared" si="75"/>
        <v>-</v>
      </c>
      <c r="P278" s="8" t="str">
        <f>"Kat. 1"</f>
        <v>Kat. 1</v>
      </c>
      <c r="Q278" s="529"/>
      <c r="R278" s="8"/>
      <c r="S278" s="8"/>
      <c r="T278" s="8"/>
      <c r="U278" s="8"/>
      <c r="V278" s="8"/>
      <c r="W278" s="8"/>
      <c r="X278" s="8"/>
      <c r="Y278" s="8"/>
      <c r="Z278" s="529"/>
      <c r="AA278" s="529"/>
      <c r="AB278" s="529"/>
      <c r="AC278" s="529"/>
      <c r="AD278" s="529"/>
      <c r="AE278" s="529"/>
      <c r="AF278" s="529"/>
      <c r="AG278" s="529"/>
      <c r="AH278" s="529"/>
      <c r="AI278" s="529"/>
      <c r="AJ278" s="529"/>
      <c r="AK278" s="529"/>
      <c r="AL278" s="529"/>
      <c r="AM278" s="529"/>
      <c r="AN278" s="529"/>
      <c r="AO278" s="529"/>
      <c r="AP278" s="529"/>
      <c r="AQ278" s="529"/>
      <c r="AR278" s="529"/>
    </row>
    <row r="279" spans="1:44" s="89" customFormat="1" x14ac:dyDescent="0.35">
      <c r="A279" s="265" t="str">
        <f t="shared" ref="A279:A282" si="76">"Eigenfaktor --&gt;"</f>
        <v>Eigenfaktor --&gt;</v>
      </c>
      <c r="B279"/>
      <c r="C279" s="89" t="str">
        <f>CONCATENATE(EFs_IT[[#This Row],[Thema]]," - ",EFs_IT[[#This Row],[Bezeichnung]])</f>
        <v xml:space="preserve">IT_Dienstleistungen - </v>
      </c>
      <c r="D279" s="109" t="str">
        <f t="shared" si="70"/>
        <v>IT_Dienstleistungen</v>
      </c>
      <c r="E279" s="529"/>
      <c r="F279" s="529"/>
      <c r="G279" s="530"/>
      <c r="H279" s="530"/>
      <c r="I279" s="530"/>
      <c r="J279" s="529"/>
      <c r="K279" s="529"/>
      <c r="L279" s="529"/>
      <c r="M279" s="529"/>
      <c r="N279" s="8" t="str">
        <f t="shared" si="71"/>
        <v>-</v>
      </c>
      <c r="O279" s="8" t="str">
        <f t="shared" si="72"/>
        <v>-</v>
      </c>
      <c r="P279" s="8" t="str">
        <f t="shared" si="73"/>
        <v>Kat. 1</v>
      </c>
      <c r="Q279" s="529"/>
      <c r="R279" s="8"/>
      <c r="S279" s="8"/>
      <c r="T279" s="8"/>
      <c r="U279" s="8"/>
      <c r="V279" s="8"/>
      <c r="W279" s="8"/>
      <c r="X279" s="8"/>
      <c r="Y279" s="8"/>
      <c r="Z279" s="529"/>
      <c r="AA279" s="529"/>
      <c r="AB279" s="529"/>
      <c r="AC279" s="529"/>
      <c r="AD279" s="529"/>
      <c r="AE279" s="529"/>
      <c r="AF279" s="529"/>
      <c r="AG279" s="529"/>
      <c r="AH279" s="529"/>
      <c r="AI279" s="529"/>
      <c r="AJ279" s="529"/>
      <c r="AK279" s="529"/>
      <c r="AL279" s="529"/>
      <c r="AM279" s="529"/>
      <c r="AN279" s="529"/>
      <c r="AO279" s="529"/>
      <c r="AP279" s="529"/>
      <c r="AQ279" s="529"/>
      <c r="AR279" s="529"/>
    </row>
    <row r="280" spans="1:44" s="89" customFormat="1" x14ac:dyDescent="0.35">
      <c r="A280" s="265" t="str">
        <f t="shared" si="76"/>
        <v>Eigenfaktor --&gt;</v>
      </c>
      <c r="B280"/>
      <c r="C280" s="89" t="str">
        <f>CONCATENATE(EFs_IT[[#This Row],[Thema]]," - ",EFs_IT[[#This Row],[Bezeichnung]])</f>
        <v xml:space="preserve">IT_Dienstleistungen - </v>
      </c>
      <c r="D280" s="109" t="str">
        <f t="shared" si="70"/>
        <v>IT_Dienstleistungen</v>
      </c>
      <c r="E280" s="529"/>
      <c r="F280" s="529"/>
      <c r="G280" s="530"/>
      <c r="H280" s="530"/>
      <c r="I280" s="530"/>
      <c r="J280" s="529"/>
      <c r="K280" s="529"/>
      <c r="L280" s="529"/>
      <c r="M280" s="529"/>
      <c r="N280" s="8" t="str">
        <f t="shared" si="71"/>
        <v>-</v>
      </c>
      <c r="O280" s="8" t="str">
        <f t="shared" si="72"/>
        <v>-</v>
      </c>
      <c r="P280" s="8" t="str">
        <f t="shared" si="73"/>
        <v>Kat. 1</v>
      </c>
      <c r="Q280" s="529"/>
      <c r="R280" s="8"/>
      <c r="S280" s="8"/>
      <c r="T280" s="8"/>
      <c r="U280" s="8"/>
      <c r="V280" s="8"/>
      <c r="W280" s="8"/>
      <c r="X280" s="8"/>
      <c r="Y280" s="8"/>
      <c r="Z280" s="529"/>
      <c r="AA280" s="529"/>
      <c r="AB280" s="529"/>
      <c r="AC280" s="529"/>
      <c r="AD280" s="529"/>
      <c r="AE280" s="529"/>
      <c r="AF280" s="529"/>
      <c r="AG280" s="529"/>
      <c r="AH280" s="529"/>
      <c r="AI280" s="529"/>
      <c r="AJ280" s="529"/>
      <c r="AK280" s="529"/>
      <c r="AL280" s="529"/>
      <c r="AM280" s="529"/>
      <c r="AN280" s="529"/>
      <c r="AO280" s="529"/>
      <c r="AP280" s="529"/>
      <c r="AQ280" s="529"/>
      <c r="AR280" s="529"/>
    </row>
    <row r="281" spans="1:44" s="89" customFormat="1" x14ac:dyDescent="0.35">
      <c r="A281" s="357" t="str">
        <f t="shared" si="76"/>
        <v>Eigenfaktor --&gt;</v>
      </c>
      <c r="C281" s="89" t="str">
        <f>CONCATENATE(EFs_IT[[#This Row],[Thema]]," - ",EFs_IT[[#This Row],[Bezeichnung]])</f>
        <v xml:space="preserve">IT_Dienstleistungen - </v>
      </c>
      <c r="D281" s="530" t="str">
        <f t="shared" si="70"/>
        <v>IT_Dienstleistungen</v>
      </c>
      <c r="E281" s="529"/>
      <c r="F281" s="529"/>
      <c r="G281" s="530"/>
      <c r="H281" s="530"/>
      <c r="I281" s="530"/>
      <c r="J281" s="529"/>
      <c r="K281" s="529"/>
      <c r="L281" s="529"/>
      <c r="M281" s="529"/>
      <c r="N281" s="529" t="str">
        <f t="shared" si="71"/>
        <v>-</v>
      </c>
      <c r="O281" s="529" t="str">
        <f t="shared" si="72"/>
        <v>-</v>
      </c>
      <c r="P281" s="529" t="str">
        <f t="shared" si="73"/>
        <v>Kat. 1</v>
      </c>
      <c r="Q281" s="529"/>
      <c r="R281" s="529"/>
      <c r="S281" s="529"/>
      <c r="T281" s="529"/>
      <c r="U281" s="529"/>
      <c r="V281" s="529"/>
      <c r="W281" s="529"/>
      <c r="X281" s="529"/>
      <c r="Y281" s="529"/>
      <c r="Z281" s="529"/>
      <c r="AA281" s="529"/>
      <c r="AB281" s="529"/>
      <c r="AC281" s="529"/>
      <c r="AD281" s="529"/>
      <c r="AE281" s="529"/>
      <c r="AF281" s="529"/>
      <c r="AG281" s="529"/>
      <c r="AH281" s="529"/>
      <c r="AI281" s="529"/>
      <c r="AJ281" s="529"/>
      <c r="AK281" s="529"/>
      <c r="AL281" s="529"/>
      <c r="AM281" s="529"/>
      <c r="AN281" s="529"/>
      <c r="AO281" s="529"/>
      <c r="AP281" s="529"/>
      <c r="AQ281" s="529"/>
      <c r="AR281" s="529"/>
    </row>
    <row r="282" spans="1:44" s="89" customFormat="1" x14ac:dyDescent="0.35">
      <c r="A282" s="357" t="str">
        <f t="shared" si="76"/>
        <v>Eigenfaktor --&gt;</v>
      </c>
      <c r="C282" s="89" t="str">
        <f>CONCATENATE(EFs_IT[[#This Row],[Thema]]," - ",EFs_IT[[#This Row],[Bezeichnung]])</f>
        <v xml:space="preserve">IT_Dienstleistungen - </v>
      </c>
      <c r="D282" s="530" t="str">
        <f t="shared" si="70"/>
        <v>IT_Dienstleistungen</v>
      </c>
      <c r="E282" s="529"/>
      <c r="F282" s="529"/>
      <c r="G282" s="530"/>
      <c r="H282" s="530"/>
      <c r="I282" s="530"/>
      <c r="J282" s="529"/>
      <c r="K282" s="529"/>
      <c r="L282" s="529"/>
      <c r="M282" s="529"/>
      <c r="N282" s="529" t="str">
        <f t="shared" si="71"/>
        <v>-</v>
      </c>
      <c r="O282" s="529" t="str">
        <f t="shared" si="72"/>
        <v>-</v>
      </c>
      <c r="P282" s="529" t="str">
        <f t="shared" si="73"/>
        <v>Kat. 1</v>
      </c>
      <c r="Q282" s="529"/>
      <c r="R282" s="529"/>
      <c r="S282" s="529"/>
      <c r="T282" s="529"/>
      <c r="U282" s="529"/>
      <c r="V282" s="529"/>
      <c r="W282" s="529"/>
      <c r="X282" s="529"/>
      <c r="Y282" s="529"/>
      <c r="Z282" s="529"/>
      <c r="AA282" s="529"/>
      <c r="AB282" s="529"/>
      <c r="AC282" s="529"/>
      <c r="AD282" s="529"/>
      <c r="AE282" s="529"/>
      <c r="AF282" s="529"/>
      <c r="AG282" s="529"/>
      <c r="AH282" s="529"/>
      <c r="AI282" s="529"/>
      <c r="AJ282" s="529"/>
      <c r="AK282" s="529"/>
      <c r="AL282" s="529"/>
      <c r="AM282" s="529"/>
      <c r="AN282" s="529"/>
      <c r="AO282" s="529"/>
      <c r="AP282" s="529"/>
      <c r="AQ282" s="529"/>
      <c r="AR282" s="529"/>
    </row>
    <row r="283" spans="1:44" s="89" customFormat="1" x14ac:dyDescent="0.35">
      <c r="D283" s="530"/>
      <c r="E283" s="529"/>
      <c r="F283" s="529"/>
      <c r="G283" s="530"/>
      <c r="H283" s="530"/>
      <c r="I283" s="530"/>
      <c r="J283" s="529"/>
      <c r="K283" s="529"/>
      <c r="L283" s="529"/>
      <c r="M283" s="529"/>
      <c r="N283" s="529"/>
      <c r="O283" s="529"/>
      <c r="P283" s="529"/>
      <c r="Q283" s="529"/>
      <c r="R283" s="529"/>
      <c r="S283" s="529"/>
      <c r="T283" s="529"/>
      <c r="U283" s="529"/>
      <c r="V283" s="529"/>
      <c r="W283" s="529"/>
      <c r="X283" s="529"/>
      <c r="Y283" s="529"/>
      <c r="Z283" s="529"/>
      <c r="AA283" s="529"/>
      <c r="AB283" s="529"/>
      <c r="AC283" s="529"/>
      <c r="AD283" s="529"/>
      <c r="AE283" s="529"/>
      <c r="AF283" s="529"/>
      <c r="AG283" s="529"/>
      <c r="AH283" s="529"/>
      <c r="AI283" s="529"/>
      <c r="AJ283" s="529"/>
      <c r="AK283" s="529"/>
      <c r="AL283" s="529"/>
      <c r="AM283" s="529"/>
      <c r="AN283" s="529"/>
      <c r="AO283" s="529"/>
      <c r="AP283" s="529"/>
      <c r="AQ283" s="529"/>
      <c r="AR283" s="529"/>
    </row>
    <row r="284" spans="1:44" s="89" customFormat="1" ht="18.5" x14ac:dyDescent="0.45">
      <c r="D284" s="527" t="s">
        <v>111</v>
      </c>
      <c r="E284" s="529"/>
      <c r="F284" s="529"/>
      <c r="G284" s="530"/>
      <c r="H284" s="530"/>
      <c r="I284" s="530"/>
      <c r="J284" s="529"/>
      <c r="K284" s="529"/>
      <c r="L284" s="529"/>
      <c r="M284" s="529"/>
      <c r="N284" s="529"/>
      <c r="O284" s="529"/>
      <c r="P284" s="529"/>
      <c r="Q284" s="529"/>
      <c r="R284" s="529"/>
      <c r="S284" s="529"/>
      <c r="T284" s="529"/>
      <c r="U284" s="529"/>
      <c r="V284" s="529"/>
      <c r="W284" s="529"/>
      <c r="X284" s="529"/>
      <c r="Y284" s="529"/>
      <c r="Z284" s="529"/>
      <c r="AA284" s="529"/>
      <c r="AB284" s="529"/>
      <c r="AC284" s="529"/>
      <c r="AD284" s="529"/>
      <c r="AE284" s="529"/>
      <c r="AF284" s="529"/>
      <c r="AG284" s="529"/>
      <c r="AH284" s="529"/>
      <c r="AI284" s="529"/>
      <c r="AJ284" s="529"/>
      <c r="AK284" s="529"/>
      <c r="AL284" s="529"/>
      <c r="AM284" s="529"/>
      <c r="AN284" s="529"/>
      <c r="AO284" s="529"/>
      <c r="AP284" s="529"/>
      <c r="AQ284" s="529"/>
      <c r="AR284" s="529"/>
    </row>
    <row r="285" spans="1:44" s="266" customFormat="1" ht="30" customHeight="1" x14ac:dyDescent="0.35">
      <c r="A285" s="685" t="s">
        <v>19</v>
      </c>
      <c r="B285" s="685"/>
      <c r="C285" s="266" t="s">
        <v>46</v>
      </c>
      <c r="D285" s="151" t="s">
        <v>0</v>
      </c>
      <c r="E285" s="266" t="s">
        <v>1</v>
      </c>
      <c r="F285" s="151" t="s">
        <v>53</v>
      </c>
      <c r="G285" s="151" t="s">
        <v>485</v>
      </c>
      <c r="H285" s="151" t="s">
        <v>486</v>
      </c>
      <c r="I285" s="151" t="s">
        <v>488</v>
      </c>
      <c r="J285" s="151" t="s">
        <v>489</v>
      </c>
      <c r="K285" s="266" t="s">
        <v>2</v>
      </c>
      <c r="L285" s="266" t="s">
        <v>3</v>
      </c>
      <c r="M285" s="266" t="s">
        <v>114</v>
      </c>
      <c r="N285" s="266" t="s">
        <v>113</v>
      </c>
      <c r="O285" s="266" t="s">
        <v>21</v>
      </c>
      <c r="P285" s="151" t="s">
        <v>277</v>
      </c>
      <c r="Q285" s="151" t="s">
        <v>278</v>
      </c>
      <c r="R285" s="151" t="s">
        <v>279</v>
      </c>
      <c r="S285" s="151" t="s">
        <v>280</v>
      </c>
      <c r="T285" s="528"/>
      <c r="U285" s="528"/>
      <c r="V285" s="528"/>
      <c r="W285" s="528"/>
      <c r="X285" s="528"/>
      <c r="Y285" s="528"/>
      <c r="Z285" s="528"/>
      <c r="AA285" s="528"/>
      <c r="AB285" s="528"/>
      <c r="AC285" s="528"/>
      <c r="AD285" s="528"/>
      <c r="AE285" s="528"/>
      <c r="AF285" s="528"/>
      <c r="AG285" s="528"/>
      <c r="AH285" s="528"/>
      <c r="AI285" s="528"/>
      <c r="AJ285" s="528"/>
      <c r="AK285" s="528"/>
      <c r="AL285" s="528"/>
      <c r="AM285" s="528"/>
      <c r="AN285" s="528"/>
      <c r="AO285" s="528"/>
      <c r="AP285" s="528"/>
      <c r="AQ285" s="528"/>
      <c r="AR285" s="528"/>
    </row>
    <row r="286" spans="1:44" x14ac:dyDescent="0.35">
      <c r="A286" s="685"/>
      <c r="B286" s="685"/>
      <c r="C286" t="str">
        <f>CONCATENATE(EFs_3135[[#This Row],[Thema]]," - ",EFs_3135[[#This Row],[Bezeichnung]])</f>
        <v>Relevante_Stoffströme - Altholz (t)</v>
      </c>
      <c r="D286" s="109" t="str">
        <f t="shared" ref="D286:D317" si="77">"Relevante_Stoffströme"</f>
        <v>Relevante_Stoffströme</v>
      </c>
      <c r="E286" s="8" t="s">
        <v>351</v>
      </c>
      <c r="F286" s="8" t="s">
        <v>362</v>
      </c>
      <c r="G286" s="109">
        <v>0</v>
      </c>
      <c r="H286" s="109">
        <v>0</v>
      </c>
      <c r="I286" s="109">
        <v>270.33</v>
      </c>
      <c r="J286" s="109">
        <v>4.6856799999999996</v>
      </c>
      <c r="K286" s="8" t="s">
        <v>125</v>
      </c>
      <c r="L286" s="8" t="s">
        <v>125</v>
      </c>
      <c r="M286" s="8" t="s">
        <v>721</v>
      </c>
      <c r="N286" s="8" t="s">
        <v>697</v>
      </c>
      <c r="O286" s="8" t="s">
        <v>722</v>
      </c>
      <c r="P286" s="8" t="str">
        <f t="shared" ref="P286:Q307" si="78">"-"</f>
        <v>-</v>
      </c>
      <c r="Q286" s="8" t="str">
        <f t="shared" si="78"/>
        <v>-</v>
      </c>
      <c r="R286" s="8" t="s">
        <v>84</v>
      </c>
      <c r="S286" s="8" t="s">
        <v>88</v>
      </c>
    </row>
    <row r="287" spans="1:44" ht="16.5" x14ac:dyDescent="0.35">
      <c r="A287"/>
      <c r="B287"/>
      <c r="C287" t="str">
        <f>CONCATENATE(EFs_3135[[#This Row],[Thema]]," - ",EFs_3135[[#This Row],[Bezeichnung]])</f>
        <v>Relevante_Stoffströme - Altholz (m3)</v>
      </c>
      <c r="D287" s="109" t="str">
        <f t="shared" si="77"/>
        <v>Relevante_Stoffströme</v>
      </c>
      <c r="E287" s="8" t="s">
        <v>628</v>
      </c>
      <c r="F287" s="8" t="s">
        <v>624</v>
      </c>
      <c r="G287" s="109">
        <v>0</v>
      </c>
      <c r="H287" s="109">
        <v>0</v>
      </c>
      <c r="I287" s="109">
        <v>91.91</v>
      </c>
      <c r="J287" s="109">
        <v>1.5931311999999997</v>
      </c>
      <c r="K287" s="8" t="s">
        <v>125</v>
      </c>
      <c r="L287" s="8" t="s">
        <v>125</v>
      </c>
      <c r="M287" s="8" t="s">
        <v>723</v>
      </c>
      <c r="N287" s="8" t="s">
        <v>724</v>
      </c>
      <c r="O287" s="8" t="s">
        <v>725</v>
      </c>
      <c r="P287" s="8" t="str">
        <f t="shared" si="78"/>
        <v>-</v>
      </c>
      <c r="Q287" s="8" t="str">
        <f t="shared" si="78"/>
        <v>-</v>
      </c>
      <c r="R287" s="8" t="s">
        <v>84</v>
      </c>
      <c r="S287" s="8" t="s">
        <v>88</v>
      </c>
    </row>
    <row r="288" spans="1:44" x14ac:dyDescent="0.35">
      <c r="A288"/>
      <c r="B288"/>
      <c r="C288" t="str">
        <f>CONCATENATE(EFs_3135[[#This Row],[Thema]]," - ",EFs_3135[[#This Row],[Bezeichnung]])</f>
        <v>Relevante_Stoffströme - Metallschrott (t)</v>
      </c>
      <c r="D288" s="109" t="str">
        <f t="shared" si="77"/>
        <v>Relevante_Stoffströme</v>
      </c>
      <c r="E288" s="8" t="s">
        <v>352</v>
      </c>
      <c r="F288" s="8" t="s">
        <v>362</v>
      </c>
      <c r="G288" s="109">
        <v>0</v>
      </c>
      <c r="H288" s="109">
        <v>0</v>
      </c>
      <c r="I288" s="109">
        <v>8513.9500000000007</v>
      </c>
      <c r="J288" s="109">
        <v>1.0083500000000001</v>
      </c>
      <c r="K288" s="8" t="s">
        <v>125</v>
      </c>
      <c r="L288" s="8" t="s">
        <v>125</v>
      </c>
      <c r="M288" s="8" t="s">
        <v>721</v>
      </c>
      <c r="N288" s="8" t="s">
        <v>697</v>
      </c>
      <c r="O288" s="8" t="s">
        <v>738</v>
      </c>
      <c r="P288" s="8" t="str">
        <f t="shared" si="78"/>
        <v>-</v>
      </c>
      <c r="Q288" s="8" t="str">
        <f t="shared" si="78"/>
        <v>-</v>
      </c>
      <c r="R288" s="8" t="s">
        <v>84</v>
      </c>
      <c r="S288" s="8" t="s">
        <v>88</v>
      </c>
    </row>
    <row r="289" spans="1:19" ht="16.5" x14ac:dyDescent="0.35">
      <c r="A289"/>
      <c r="B289"/>
      <c r="C289" t="str">
        <f>CONCATENATE(EFs_3135[[#This Row],[Thema]]," - ",EFs_3135[[#This Row],[Bezeichnung]])</f>
        <v>Relevante_Stoffströme - Metallschrott (m3)</v>
      </c>
      <c r="D289" s="109" t="str">
        <f t="shared" si="77"/>
        <v>Relevante_Stoffströme</v>
      </c>
      <c r="E289" s="8" t="s">
        <v>629</v>
      </c>
      <c r="F289" s="8" t="s">
        <v>624</v>
      </c>
      <c r="G289" s="109">
        <v>0</v>
      </c>
      <c r="H289" s="109">
        <v>0</v>
      </c>
      <c r="I289" s="109">
        <v>851.4</v>
      </c>
      <c r="J289" s="109">
        <v>0.10083500000000001</v>
      </c>
      <c r="K289" s="8" t="s">
        <v>125</v>
      </c>
      <c r="L289" s="8" t="s">
        <v>125</v>
      </c>
      <c r="M289" s="8" t="s">
        <v>723</v>
      </c>
      <c r="N289" s="8" t="s">
        <v>724</v>
      </c>
      <c r="O289" s="8" t="s">
        <v>726</v>
      </c>
      <c r="P289" s="8" t="str">
        <f t="shared" si="78"/>
        <v>-</v>
      </c>
      <c r="Q289" s="8" t="str">
        <f t="shared" si="78"/>
        <v>-</v>
      </c>
      <c r="R289" s="8" t="s">
        <v>84</v>
      </c>
      <c r="S289" s="8" t="s">
        <v>88</v>
      </c>
    </row>
    <row r="290" spans="1:19" x14ac:dyDescent="0.35">
      <c r="A290"/>
      <c r="B290"/>
      <c r="C290" t="str">
        <f>CONCATENATE(EFs_3135[[#This Row],[Thema]]," - ",EFs_3135[[#This Row],[Bezeichnung]])</f>
        <v>Relevante_Stoffströme - Baumischabfall (t)</v>
      </c>
      <c r="D290" s="109" t="str">
        <f t="shared" ref="D290:D307" si="79">"Relevante_Stoffströme"</f>
        <v>Relevante_Stoffströme</v>
      </c>
      <c r="E290" s="8" t="s">
        <v>353</v>
      </c>
      <c r="F290" s="8" t="s">
        <v>362</v>
      </c>
      <c r="G290" s="109">
        <v>0</v>
      </c>
      <c r="H290" s="109">
        <v>0</v>
      </c>
      <c r="I290" s="109">
        <v>1661.82</v>
      </c>
      <c r="J290" s="109">
        <v>4.6856799999999996</v>
      </c>
      <c r="K290" s="8" t="s">
        <v>125</v>
      </c>
      <c r="L290" s="8" t="s">
        <v>125</v>
      </c>
      <c r="M290" s="8" t="s">
        <v>721</v>
      </c>
      <c r="N290" s="8" t="s">
        <v>697</v>
      </c>
      <c r="O290" s="8" t="s">
        <v>739</v>
      </c>
      <c r="P290" s="8" t="str">
        <f t="shared" si="78"/>
        <v>-</v>
      </c>
      <c r="Q290" s="8" t="str">
        <f t="shared" si="78"/>
        <v>-</v>
      </c>
      <c r="R290" s="8" t="s">
        <v>84</v>
      </c>
      <c r="S290" s="8" t="s">
        <v>88</v>
      </c>
    </row>
    <row r="291" spans="1:19" ht="16.5" x14ac:dyDescent="0.35">
      <c r="A291"/>
      <c r="B291"/>
      <c r="C291" t="str">
        <f>CONCATENATE(EFs_3135[[#This Row],[Thema]]," - ",EFs_3135[[#This Row],[Bezeichnung]])</f>
        <v>Relevante_Stoffströme - Baumischabfall (m3)</v>
      </c>
      <c r="D291" s="109" t="str">
        <f t="shared" si="79"/>
        <v>Relevante_Stoffströme</v>
      </c>
      <c r="E291" s="8" t="s">
        <v>630</v>
      </c>
      <c r="F291" s="8" t="s">
        <v>624</v>
      </c>
      <c r="G291" s="109">
        <v>0</v>
      </c>
      <c r="H291" s="109">
        <v>0</v>
      </c>
      <c r="I291" s="109">
        <v>2160.37</v>
      </c>
      <c r="J291" s="109">
        <v>6.0913839999999988</v>
      </c>
      <c r="K291" s="8" t="s">
        <v>125</v>
      </c>
      <c r="L291" s="8" t="s">
        <v>125</v>
      </c>
      <c r="M291" s="8" t="s">
        <v>723</v>
      </c>
      <c r="N291" s="8" t="s">
        <v>724</v>
      </c>
      <c r="O291" s="8" t="s">
        <v>727</v>
      </c>
      <c r="P291" s="8" t="str">
        <f t="shared" si="78"/>
        <v>-</v>
      </c>
      <c r="Q291" s="8" t="str">
        <f t="shared" si="78"/>
        <v>-</v>
      </c>
      <c r="R291" s="8" t="s">
        <v>84</v>
      </c>
      <c r="S291" s="8" t="s">
        <v>88</v>
      </c>
    </row>
    <row r="292" spans="1:19" x14ac:dyDescent="0.35">
      <c r="A292"/>
      <c r="B292"/>
      <c r="C292" t="str">
        <f>CONCATENATE(EFs_3135[[#This Row],[Thema]]," - ",EFs_3135[[#This Row],[Bezeichnung]])</f>
        <v>Relevante_Stoffströme - Sperrmüll (t)</v>
      </c>
      <c r="D292" s="109" t="str">
        <f t="shared" si="79"/>
        <v>Relevante_Stoffströme</v>
      </c>
      <c r="E292" s="8" t="s">
        <v>354</v>
      </c>
      <c r="F292" s="8" t="s">
        <v>362</v>
      </c>
      <c r="G292" s="109">
        <v>0</v>
      </c>
      <c r="H292" s="109">
        <v>0</v>
      </c>
      <c r="I292" s="109">
        <v>2368.7800000000002</v>
      </c>
      <c r="J292" s="109">
        <v>4.6856799999999996</v>
      </c>
      <c r="K292" s="8" t="s">
        <v>125</v>
      </c>
      <c r="L292" s="8" t="s">
        <v>125</v>
      </c>
      <c r="M292" s="8" t="s">
        <v>728</v>
      </c>
      <c r="N292" s="8" t="s">
        <v>697</v>
      </c>
      <c r="O292" s="8" t="s">
        <v>740</v>
      </c>
      <c r="P292" s="8" t="str">
        <f t="shared" si="78"/>
        <v>-</v>
      </c>
      <c r="Q292" s="8" t="str">
        <f t="shared" si="78"/>
        <v>-</v>
      </c>
      <c r="R292" s="8" t="s">
        <v>84</v>
      </c>
      <c r="S292" s="8" t="s">
        <v>88</v>
      </c>
    </row>
    <row r="293" spans="1:19" ht="16.5" x14ac:dyDescent="0.35">
      <c r="A293"/>
      <c r="B293"/>
      <c r="C293" t="str">
        <f>CONCATENATE(EFs_3135[[#This Row],[Thema]]," - ",EFs_3135[[#This Row],[Bezeichnung]])</f>
        <v>Relevante_Stoffströme - Sperrmüll (m3)</v>
      </c>
      <c r="D293" s="109" t="str">
        <f t="shared" si="79"/>
        <v>Relevante_Stoffströme</v>
      </c>
      <c r="E293" s="8" t="s">
        <v>631</v>
      </c>
      <c r="F293" s="8" t="s">
        <v>624</v>
      </c>
      <c r="G293" s="109">
        <v>0</v>
      </c>
      <c r="H293" s="109">
        <v>0</v>
      </c>
      <c r="I293" s="109">
        <v>236.88</v>
      </c>
      <c r="J293" s="109">
        <v>0.46856799999999993</v>
      </c>
      <c r="K293" s="8" t="s">
        <v>125</v>
      </c>
      <c r="L293" s="8" t="s">
        <v>125</v>
      </c>
      <c r="M293" s="8" t="s">
        <v>729</v>
      </c>
      <c r="N293" s="8" t="s">
        <v>724</v>
      </c>
      <c r="O293" s="8" t="s">
        <v>730</v>
      </c>
      <c r="P293" s="8" t="str">
        <f t="shared" si="78"/>
        <v>-</v>
      </c>
      <c r="Q293" s="8" t="str">
        <f t="shared" si="78"/>
        <v>-</v>
      </c>
      <c r="R293" s="8" t="s">
        <v>84</v>
      </c>
      <c r="S293" s="8" t="s">
        <v>88</v>
      </c>
    </row>
    <row r="294" spans="1:19" x14ac:dyDescent="0.35">
      <c r="A294"/>
      <c r="B294"/>
      <c r="C294" t="str">
        <f>CONCATENATE(EFs_3135[[#This Row],[Thema]]," - ",EFs_3135[[#This Row],[Bezeichnung]])</f>
        <v>Relevante_Stoffströme - Elektroschrott (IT-Hardware, t)</v>
      </c>
      <c r="D294" s="109" t="str">
        <f t="shared" si="79"/>
        <v>Relevante_Stoffströme</v>
      </c>
      <c r="E294" s="8" t="s">
        <v>355</v>
      </c>
      <c r="F294" s="8" t="s">
        <v>362</v>
      </c>
      <c r="G294" s="109">
        <v>0</v>
      </c>
      <c r="H294" s="109">
        <v>0</v>
      </c>
      <c r="I294" s="109">
        <v>80695.509999999995</v>
      </c>
      <c r="J294" s="109">
        <v>4.6856799999999996</v>
      </c>
      <c r="K294" s="8" t="s">
        <v>125</v>
      </c>
      <c r="L294" s="8" t="s">
        <v>125</v>
      </c>
      <c r="M294" s="8" t="s">
        <v>731</v>
      </c>
      <c r="N294" s="8" t="s">
        <v>697</v>
      </c>
      <c r="O294" s="8" t="s">
        <v>741</v>
      </c>
      <c r="P294" s="8" t="str">
        <f t="shared" si="78"/>
        <v>-</v>
      </c>
      <c r="Q294" s="8" t="str">
        <f t="shared" si="78"/>
        <v>-</v>
      </c>
      <c r="R294" s="8" t="s">
        <v>84</v>
      </c>
      <c r="S294" s="8" t="s">
        <v>88</v>
      </c>
    </row>
    <row r="295" spans="1:19" x14ac:dyDescent="0.35">
      <c r="A295"/>
      <c r="B295"/>
      <c r="C295" t="str">
        <f>CONCATENATE(EFs_3135[[#This Row],[Thema]]," - ",EFs_3135[[#This Row],[Bezeichnung]])</f>
        <v>Relevante_Stoffströme - Elektroschrott (ohne IT-Hardware, t)</v>
      </c>
      <c r="D295" s="109" t="str">
        <f t="shared" si="79"/>
        <v>Relevante_Stoffströme</v>
      </c>
      <c r="E295" s="8" t="s">
        <v>356</v>
      </c>
      <c r="F295" s="8" t="s">
        <v>362</v>
      </c>
      <c r="G295" s="109">
        <v>0</v>
      </c>
      <c r="H295" s="109">
        <v>0</v>
      </c>
      <c r="I295" s="109">
        <v>3227.3</v>
      </c>
      <c r="J295" s="109">
        <v>4.6856799999999996</v>
      </c>
      <c r="K295" s="8" t="s">
        <v>125</v>
      </c>
      <c r="L295" s="8" t="s">
        <v>125</v>
      </c>
      <c r="M295" s="8" t="s">
        <v>721</v>
      </c>
      <c r="N295" s="8" t="s">
        <v>697</v>
      </c>
      <c r="O295" s="8" t="s">
        <v>742</v>
      </c>
      <c r="P295" s="8" t="str">
        <f t="shared" si="78"/>
        <v>-</v>
      </c>
      <c r="Q295" s="8" t="str">
        <f t="shared" si="78"/>
        <v>-</v>
      </c>
      <c r="R295" s="8" t="s">
        <v>84</v>
      </c>
      <c r="S295" s="8" t="s">
        <v>88</v>
      </c>
    </row>
    <row r="296" spans="1:19" x14ac:dyDescent="0.35">
      <c r="A296"/>
      <c r="B296"/>
      <c r="C296" t="str">
        <f>CONCATENATE(EFs_3135[[#This Row],[Thema]]," - ",EFs_3135[[#This Row],[Bezeichnung]])</f>
        <v>Relevante_Stoffströme - Sonder- und Gefahrenstoffabfall (t)</v>
      </c>
      <c r="D296" s="109" t="str">
        <f>"Relevante_Stoffströme"</f>
        <v>Relevante_Stoffströme</v>
      </c>
      <c r="E296" s="8" t="s">
        <v>431</v>
      </c>
      <c r="F296" s="8" t="s">
        <v>362</v>
      </c>
      <c r="G296" s="109">
        <v>0</v>
      </c>
      <c r="H296" s="109">
        <v>0</v>
      </c>
      <c r="I296" s="109">
        <v>0</v>
      </c>
      <c r="J296" s="109">
        <v>5.9416000000000002</v>
      </c>
      <c r="K296" s="8" t="s">
        <v>125</v>
      </c>
      <c r="L296" s="8" t="s">
        <v>125</v>
      </c>
      <c r="M296" s="8" t="s">
        <v>125</v>
      </c>
      <c r="N296" s="8" t="s">
        <v>697</v>
      </c>
      <c r="O296" s="8" t="s">
        <v>743</v>
      </c>
      <c r="P296" s="8" t="str">
        <f t="shared" si="78"/>
        <v>-</v>
      </c>
      <c r="Q296" s="8" t="str">
        <f t="shared" si="78"/>
        <v>-</v>
      </c>
      <c r="R296" s="8" t="s">
        <v>125</v>
      </c>
      <c r="S296" s="8" t="s">
        <v>88</v>
      </c>
    </row>
    <row r="297" spans="1:19" ht="16.5" x14ac:dyDescent="0.35">
      <c r="A297"/>
      <c r="B297"/>
      <c r="C297" t="str">
        <f>CONCATENATE(EFs_3135[[#This Row],[Thema]]," - ",EFs_3135[[#This Row],[Bezeichnung]])</f>
        <v>Relevante_Stoffströme - Sonder- und Gefahrenstoffabfall (m3)</v>
      </c>
      <c r="D297" s="109" t="str">
        <f>"Relevante_Stoffströme"</f>
        <v>Relevante_Stoffströme</v>
      </c>
      <c r="E297" s="8" t="s">
        <v>632</v>
      </c>
      <c r="F297" s="8" t="s">
        <v>624</v>
      </c>
      <c r="G297" s="109">
        <v>0</v>
      </c>
      <c r="H297" s="109">
        <v>0</v>
      </c>
      <c r="I297" s="109">
        <v>0</v>
      </c>
      <c r="J297" s="109">
        <v>7.7240799999999998</v>
      </c>
      <c r="K297" s="8" t="s">
        <v>125</v>
      </c>
      <c r="L297" s="8" t="s">
        <v>125</v>
      </c>
      <c r="M297" s="8" t="s">
        <v>125</v>
      </c>
      <c r="N297" s="8" t="s">
        <v>724</v>
      </c>
      <c r="O297" s="8" t="s">
        <v>732</v>
      </c>
      <c r="P297" s="8" t="str">
        <f t="shared" si="78"/>
        <v>-</v>
      </c>
      <c r="Q297" s="8" t="str">
        <f t="shared" si="78"/>
        <v>-</v>
      </c>
      <c r="R297" s="8" t="s">
        <v>125</v>
      </c>
      <c r="S297" s="8" t="s">
        <v>88</v>
      </c>
    </row>
    <row r="298" spans="1:19" x14ac:dyDescent="0.35">
      <c r="A298"/>
      <c r="B298"/>
      <c r="C298" t="str">
        <f>CONCATENATE(EFs_3135[[#This Row],[Thema]]," - ",EFs_3135[[#This Row],[Bezeichnung]])</f>
        <v>Relevante_Stoffströme - Papiermüll (t)</v>
      </c>
      <c r="D298" s="109" t="str">
        <f t="shared" si="79"/>
        <v>Relevante_Stoffströme</v>
      </c>
      <c r="E298" s="8" t="s">
        <v>357</v>
      </c>
      <c r="F298" s="8" t="s">
        <v>362</v>
      </c>
      <c r="G298" s="109">
        <v>0</v>
      </c>
      <c r="H298" s="109">
        <v>0</v>
      </c>
      <c r="I298" s="109">
        <v>0</v>
      </c>
      <c r="J298" s="109">
        <v>4.6856799999999996</v>
      </c>
      <c r="K298" s="8" t="s">
        <v>125</v>
      </c>
      <c r="L298" s="8" t="s">
        <v>125</v>
      </c>
      <c r="M298" s="8" t="s">
        <v>125</v>
      </c>
      <c r="N298" s="8" t="s">
        <v>697</v>
      </c>
      <c r="O298" s="8" t="s">
        <v>744</v>
      </c>
      <c r="P298" s="8" t="str">
        <f t="shared" si="78"/>
        <v>-</v>
      </c>
      <c r="Q298" s="8" t="str">
        <f t="shared" si="78"/>
        <v>-</v>
      </c>
      <c r="R298" s="8" t="s">
        <v>125</v>
      </c>
      <c r="S298" s="8" t="s">
        <v>88</v>
      </c>
    </row>
    <row r="299" spans="1:19" ht="16.5" x14ac:dyDescent="0.35">
      <c r="A299"/>
      <c r="B299"/>
      <c r="C299" t="str">
        <f>CONCATENATE(EFs_3135[[#This Row],[Thema]]," - ",EFs_3135[[#This Row],[Bezeichnung]])</f>
        <v>Relevante_Stoffströme - Papiermüll (m3)</v>
      </c>
      <c r="D299" s="109" t="str">
        <f t="shared" si="79"/>
        <v>Relevante_Stoffströme</v>
      </c>
      <c r="E299" s="8" t="s">
        <v>633</v>
      </c>
      <c r="F299" s="8" t="s">
        <v>624</v>
      </c>
      <c r="G299" s="109">
        <v>0</v>
      </c>
      <c r="H299" s="109">
        <v>0</v>
      </c>
      <c r="I299" s="109">
        <v>0</v>
      </c>
      <c r="J299" s="109">
        <v>0.93713599999999986</v>
      </c>
      <c r="K299" s="8" t="s">
        <v>125</v>
      </c>
      <c r="L299" s="8" t="s">
        <v>125</v>
      </c>
      <c r="M299" s="8" t="s">
        <v>125</v>
      </c>
      <c r="N299" s="8" t="s">
        <v>724</v>
      </c>
      <c r="O299" s="8" t="s">
        <v>733</v>
      </c>
      <c r="P299" s="8" t="str">
        <f t="shared" si="78"/>
        <v>-</v>
      </c>
      <c r="Q299" s="8" t="str">
        <f t="shared" si="78"/>
        <v>-</v>
      </c>
      <c r="R299" s="8" t="s">
        <v>125</v>
      </c>
      <c r="S299" s="8" t="s">
        <v>88</v>
      </c>
    </row>
    <row r="300" spans="1:19" x14ac:dyDescent="0.35">
      <c r="A300"/>
      <c r="B300"/>
      <c r="C300" t="str">
        <f>CONCATENATE(EFs_3135[[#This Row],[Thema]]," - ",EFs_3135[[#This Row],[Bezeichnung]])</f>
        <v>Relevante_Stoffströme - Plastikmüll (t)</v>
      </c>
      <c r="D300" s="109" t="str">
        <f t="shared" si="79"/>
        <v>Relevante_Stoffströme</v>
      </c>
      <c r="E300" s="8" t="s">
        <v>358</v>
      </c>
      <c r="F300" s="8" t="s">
        <v>362</v>
      </c>
      <c r="G300" s="109">
        <v>0</v>
      </c>
      <c r="H300" s="109">
        <v>0</v>
      </c>
      <c r="I300" s="109">
        <v>0</v>
      </c>
      <c r="J300" s="109">
        <v>4.6856799999999996</v>
      </c>
      <c r="K300" s="8" t="s">
        <v>125</v>
      </c>
      <c r="L300" s="8" t="s">
        <v>125</v>
      </c>
      <c r="M300" s="8" t="s">
        <v>125</v>
      </c>
      <c r="N300" s="8" t="s">
        <v>697</v>
      </c>
      <c r="O300" s="8" t="s">
        <v>745</v>
      </c>
      <c r="P300" s="8" t="str">
        <f t="shared" si="78"/>
        <v>-</v>
      </c>
      <c r="Q300" s="8" t="str">
        <f t="shared" si="78"/>
        <v>-</v>
      </c>
      <c r="R300" s="8" t="s">
        <v>125</v>
      </c>
      <c r="S300" s="8" t="s">
        <v>88</v>
      </c>
    </row>
    <row r="301" spans="1:19" ht="16.5" x14ac:dyDescent="0.35">
      <c r="A301"/>
      <c r="B301"/>
      <c r="C301" t="str">
        <f>CONCATENATE(EFs_3135[[#This Row],[Thema]]," - ",EFs_3135[[#This Row],[Bezeichnung]])</f>
        <v>Relevante_Stoffströme - Plastikmüll (m3)</v>
      </c>
      <c r="D301" s="109" t="str">
        <f t="shared" si="79"/>
        <v>Relevante_Stoffströme</v>
      </c>
      <c r="E301" s="8" t="s">
        <v>634</v>
      </c>
      <c r="F301" s="8" t="s">
        <v>624</v>
      </c>
      <c r="G301" s="109">
        <v>0</v>
      </c>
      <c r="H301" s="109">
        <v>0</v>
      </c>
      <c r="I301" s="109">
        <v>0</v>
      </c>
      <c r="J301" s="109">
        <v>0.14057039999999998</v>
      </c>
      <c r="K301" s="8" t="s">
        <v>125</v>
      </c>
      <c r="L301" s="8" t="s">
        <v>125</v>
      </c>
      <c r="M301" s="8" t="s">
        <v>125</v>
      </c>
      <c r="N301" s="8" t="s">
        <v>724</v>
      </c>
      <c r="O301" s="8" t="s">
        <v>734</v>
      </c>
      <c r="P301" s="8" t="str">
        <f t="shared" si="78"/>
        <v>-</v>
      </c>
      <c r="Q301" s="8" t="str">
        <f t="shared" si="78"/>
        <v>-</v>
      </c>
      <c r="R301" s="8" t="s">
        <v>125</v>
      </c>
      <c r="S301" s="8" t="s">
        <v>88</v>
      </c>
    </row>
    <row r="302" spans="1:19" x14ac:dyDescent="0.35">
      <c r="A302"/>
      <c r="B302"/>
      <c r="C302" t="str">
        <f>CONCATENATE(EFs_3135[[#This Row],[Thema]]," - ",EFs_3135[[#This Row],[Bezeichnung]])</f>
        <v>Relevante_Stoffströme - Restmüll (t)</v>
      </c>
      <c r="D302" s="109" t="str">
        <f t="shared" si="79"/>
        <v>Relevante_Stoffströme</v>
      </c>
      <c r="E302" s="8" t="s">
        <v>359</v>
      </c>
      <c r="F302" s="8" t="s">
        <v>362</v>
      </c>
      <c r="G302" s="109">
        <v>0</v>
      </c>
      <c r="H302" s="109">
        <v>0</v>
      </c>
      <c r="I302" s="109">
        <v>0</v>
      </c>
      <c r="J302" s="109">
        <v>4.6856799999999996</v>
      </c>
      <c r="K302" s="8" t="s">
        <v>125</v>
      </c>
      <c r="L302" s="8" t="s">
        <v>125</v>
      </c>
      <c r="M302" s="8" t="s">
        <v>125</v>
      </c>
      <c r="N302" s="8" t="s">
        <v>697</v>
      </c>
      <c r="O302" s="8" t="s">
        <v>746</v>
      </c>
      <c r="P302" s="8" t="str">
        <f t="shared" si="78"/>
        <v>-</v>
      </c>
      <c r="Q302" s="8" t="str">
        <f t="shared" si="78"/>
        <v>-</v>
      </c>
      <c r="R302" s="8" t="s">
        <v>125</v>
      </c>
      <c r="S302" s="8" t="s">
        <v>88</v>
      </c>
    </row>
    <row r="303" spans="1:19" ht="16.5" x14ac:dyDescent="0.35">
      <c r="A303"/>
      <c r="B303"/>
      <c r="C303" t="str">
        <f>CONCATENATE(EFs_3135[[#This Row],[Thema]]," - ",EFs_3135[[#This Row],[Bezeichnung]])</f>
        <v>Relevante_Stoffströme - Restmüll (m3)</v>
      </c>
      <c r="D303" s="109" t="str">
        <f t="shared" si="79"/>
        <v>Relevante_Stoffströme</v>
      </c>
      <c r="E303" s="8" t="s">
        <v>635</v>
      </c>
      <c r="F303" s="8" t="s">
        <v>624</v>
      </c>
      <c r="G303" s="109">
        <v>0</v>
      </c>
      <c r="H303" s="109">
        <v>0</v>
      </c>
      <c r="I303" s="109">
        <v>0</v>
      </c>
      <c r="J303" s="109">
        <v>0.46856799999999993</v>
      </c>
      <c r="K303" s="8" t="s">
        <v>125</v>
      </c>
      <c r="L303" s="8" t="s">
        <v>125</v>
      </c>
      <c r="M303" s="8" t="s">
        <v>125</v>
      </c>
      <c r="N303" s="8" t="s">
        <v>724</v>
      </c>
      <c r="O303" s="8" t="s">
        <v>735</v>
      </c>
      <c r="P303" s="8" t="str">
        <f t="shared" si="78"/>
        <v>-</v>
      </c>
      <c r="Q303" s="8" t="str">
        <f t="shared" si="78"/>
        <v>-</v>
      </c>
      <c r="R303" s="8" t="s">
        <v>125</v>
      </c>
      <c r="S303" s="8" t="s">
        <v>88</v>
      </c>
    </row>
    <row r="304" spans="1:19" x14ac:dyDescent="0.35">
      <c r="A304"/>
      <c r="B304"/>
      <c r="C304" t="str">
        <f>CONCATENATE(EFs_3135[[#This Row],[Thema]]," - ",EFs_3135[[#This Row],[Bezeichnung]])</f>
        <v>Relevante_Stoffströme - Biomüll (t)</v>
      </c>
      <c r="D304" s="109" t="str">
        <f t="shared" si="79"/>
        <v>Relevante_Stoffströme</v>
      </c>
      <c r="E304" s="8" t="s">
        <v>360</v>
      </c>
      <c r="F304" s="8" t="s">
        <v>362</v>
      </c>
      <c r="G304" s="109">
        <v>0</v>
      </c>
      <c r="H304" s="109">
        <v>0</v>
      </c>
      <c r="I304" s="109">
        <v>0</v>
      </c>
      <c r="J304" s="109">
        <v>8.9831099999999999</v>
      </c>
      <c r="K304" s="8" t="s">
        <v>125</v>
      </c>
      <c r="L304" s="8" t="s">
        <v>125</v>
      </c>
      <c r="M304" s="8" t="s">
        <v>125</v>
      </c>
      <c r="N304" s="8" t="s">
        <v>697</v>
      </c>
      <c r="O304" s="8" t="s">
        <v>747</v>
      </c>
      <c r="P304" s="8" t="str">
        <f t="shared" si="78"/>
        <v>-</v>
      </c>
      <c r="Q304" s="8" t="str">
        <f t="shared" si="78"/>
        <v>-</v>
      </c>
      <c r="R304" s="8" t="s">
        <v>125</v>
      </c>
      <c r="S304" s="8" t="s">
        <v>88</v>
      </c>
    </row>
    <row r="305" spans="1:44" ht="16.5" x14ac:dyDescent="0.35">
      <c r="A305"/>
      <c r="B305"/>
      <c r="C305" t="str">
        <f>CONCATENATE(EFs_3135[[#This Row],[Thema]]," - ",EFs_3135[[#This Row],[Bezeichnung]])</f>
        <v>Relevante_Stoffströme - Biomüll (m3)</v>
      </c>
      <c r="D305" s="109" t="str">
        <f t="shared" si="79"/>
        <v>Relevante_Stoffströme</v>
      </c>
      <c r="E305" s="8" t="s">
        <v>636</v>
      </c>
      <c r="F305" s="8" t="s">
        <v>624</v>
      </c>
      <c r="G305" s="109">
        <v>0</v>
      </c>
      <c r="H305" s="109">
        <v>0</v>
      </c>
      <c r="I305" s="109">
        <v>0</v>
      </c>
      <c r="J305" s="109">
        <v>2.2457775</v>
      </c>
      <c r="K305" s="8" t="s">
        <v>125</v>
      </c>
      <c r="L305" s="8" t="s">
        <v>125</v>
      </c>
      <c r="M305" s="8" t="s">
        <v>125</v>
      </c>
      <c r="N305" s="8" t="s">
        <v>724</v>
      </c>
      <c r="O305" s="8" t="s">
        <v>736</v>
      </c>
      <c r="P305" s="8" t="str">
        <f t="shared" si="78"/>
        <v>-</v>
      </c>
      <c r="Q305" s="8" t="str">
        <f t="shared" si="78"/>
        <v>-</v>
      </c>
      <c r="R305" s="8" t="s">
        <v>125</v>
      </c>
      <c r="S305" s="8" t="s">
        <v>88</v>
      </c>
    </row>
    <row r="306" spans="1:44" x14ac:dyDescent="0.35">
      <c r="A306"/>
      <c r="B306"/>
      <c r="C306" t="str">
        <f>CONCATENATE(EFs_3135[[#This Row],[Thema]]," - ",EFs_3135[[#This Row],[Bezeichnung]])</f>
        <v>Relevante_Stoffströme - Altglas (t)</v>
      </c>
      <c r="D306" s="109" t="str">
        <f t="shared" si="79"/>
        <v>Relevante_Stoffströme</v>
      </c>
      <c r="E306" s="8" t="s">
        <v>361</v>
      </c>
      <c r="F306" s="8" t="s">
        <v>362</v>
      </c>
      <c r="G306" s="109">
        <v>0</v>
      </c>
      <c r="H306" s="109">
        <v>0</v>
      </c>
      <c r="I306" s="109">
        <v>0</v>
      </c>
      <c r="J306" s="109">
        <v>4.6856799999999996</v>
      </c>
      <c r="K306" s="8" t="s">
        <v>125</v>
      </c>
      <c r="L306" s="8" t="s">
        <v>125</v>
      </c>
      <c r="M306" s="8" t="s">
        <v>125</v>
      </c>
      <c r="N306" s="8" t="s">
        <v>697</v>
      </c>
      <c r="O306" s="8" t="s">
        <v>748</v>
      </c>
      <c r="P306" s="8" t="str">
        <f t="shared" si="78"/>
        <v>-</v>
      </c>
      <c r="Q306" s="8" t="str">
        <f t="shared" si="78"/>
        <v>-</v>
      </c>
      <c r="R306" s="8" t="s">
        <v>125</v>
      </c>
      <c r="S306" s="8" t="s">
        <v>88</v>
      </c>
    </row>
    <row r="307" spans="1:44" ht="16.5" x14ac:dyDescent="0.35">
      <c r="A307"/>
      <c r="B307"/>
      <c r="C307" t="str">
        <f>CONCATENATE(EFs_3135[[#This Row],[Thema]]," - ",EFs_3135[[#This Row],[Bezeichnung]])</f>
        <v>Relevante_Stoffströme - Altglas (m3)</v>
      </c>
      <c r="D307" s="109" t="str">
        <f t="shared" si="79"/>
        <v>Relevante_Stoffströme</v>
      </c>
      <c r="E307" s="8" t="s">
        <v>637</v>
      </c>
      <c r="F307" s="8" t="s">
        <v>624</v>
      </c>
      <c r="G307" s="109">
        <v>0</v>
      </c>
      <c r="H307" s="109">
        <v>0</v>
      </c>
      <c r="I307" s="109">
        <v>0</v>
      </c>
      <c r="J307" s="109">
        <v>1.8742719999999997</v>
      </c>
      <c r="K307" s="8" t="s">
        <v>125</v>
      </c>
      <c r="L307" s="8" t="s">
        <v>125</v>
      </c>
      <c r="M307" s="8" t="s">
        <v>125</v>
      </c>
      <c r="N307" s="8" t="s">
        <v>724</v>
      </c>
      <c r="O307" s="8" t="s">
        <v>737</v>
      </c>
      <c r="P307" s="8" t="str">
        <f t="shared" si="78"/>
        <v>-</v>
      </c>
      <c r="Q307" s="8" t="str">
        <f t="shared" si="78"/>
        <v>-</v>
      </c>
      <c r="R307" s="8" t="s">
        <v>125</v>
      </c>
      <c r="S307" s="8" t="s">
        <v>88</v>
      </c>
    </row>
    <row r="308" spans="1:44" s="89" customFormat="1" x14ac:dyDescent="0.35">
      <c r="A308" s="265" t="str">
        <f>"Eigenfaktor --&gt;"</f>
        <v>Eigenfaktor --&gt;</v>
      </c>
      <c r="B308"/>
      <c r="C308" s="89" t="str">
        <f>CONCATENATE(EFs_3135[[#This Row],[Thema]]," - ",EFs_3135[[#This Row],[Bezeichnung]])</f>
        <v xml:space="preserve">Relevante_Stoffströme - </v>
      </c>
      <c r="D308" s="109" t="str">
        <f t="shared" si="77"/>
        <v>Relevante_Stoffströme</v>
      </c>
      <c r="E308" s="529"/>
      <c r="F308" s="529"/>
      <c r="G308" s="530"/>
      <c r="H308" s="530"/>
      <c r="I308" s="530"/>
      <c r="J308" s="530"/>
      <c r="K308" s="529"/>
      <c r="L308" s="529"/>
      <c r="M308" s="529"/>
      <c r="N308" s="529"/>
      <c r="O308" s="529"/>
      <c r="P308" s="529" t="str">
        <f t="shared" ref="P308:Q317" si="80">"-"</f>
        <v>-</v>
      </c>
      <c r="Q308" s="529" t="str">
        <f t="shared" si="80"/>
        <v>-</v>
      </c>
      <c r="R308" s="529"/>
      <c r="S308" s="529"/>
      <c r="T308" s="8"/>
      <c r="U308" s="8"/>
      <c r="V308" s="8"/>
      <c r="W308" s="8"/>
      <c r="X308" s="8"/>
      <c r="Y308" s="8"/>
      <c r="Z308" s="8"/>
      <c r="AA308" s="8"/>
      <c r="AB308" s="529"/>
      <c r="AC308" s="529"/>
      <c r="AD308" s="529"/>
      <c r="AE308" s="529"/>
      <c r="AF308" s="529"/>
      <c r="AG308" s="529"/>
      <c r="AH308" s="529"/>
      <c r="AI308" s="529"/>
      <c r="AJ308" s="529"/>
      <c r="AK308" s="529"/>
      <c r="AL308" s="529"/>
      <c r="AM308" s="529"/>
      <c r="AN308" s="529"/>
      <c r="AO308" s="529"/>
      <c r="AP308" s="529"/>
      <c r="AQ308" s="529"/>
      <c r="AR308" s="529"/>
    </row>
    <row r="309" spans="1:44" s="89" customFormat="1" x14ac:dyDescent="0.35">
      <c r="A309" s="265" t="str">
        <f t="shared" ref="A309:A313" si="81">"Eigenfaktor --&gt;"</f>
        <v>Eigenfaktor --&gt;</v>
      </c>
      <c r="B309"/>
      <c r="C309" s="89" t="str">
        <f>CONCATENATE(EFs_3135[[#This Row],[Thema]]," - ",EFs_3135[[#This Row],[Bezeichnung]])</f>
        <v xml:space="preserve">Relevante_Stoffströme - </v>
      </c>
      <c r="D309" s="109" t="str">
        <f>"Relevante_Stoffströme"</f>
        <v>Relevante_Stoffströme</v>
      </c>
      <c r="E309" s="529"/>
      <c r="F309" s="529"/>
      <c r="G309" s="530"/>
      <c r="H309" s="530"/>
      <c r="I309" s="530"/>
      <c r="J309" s="530"/>
      <c r="K309" s="529"/>
      <c r="L309" s="529"/>
      <c r="M309" s="529"/>
      <c r="N309" s="529"/>
      <c r="O309" s="529"/>
      <c r="P309" s="529" t="str">
        <f t="shared" ref="P309:Q313" si="82">"-"</f>
        <v>-</v>
      </c>
      <c r="Q309" s="529" t="str">
        <f t="shared" si="82"/>
        <v>-</v>
      </c>
      <c r="R309" s="529"/>
      <c r="S309" s="529"/>
      <c r="T309" s="8"/>
      <c r="U309" s="8"/>
      <c r="V309" s="8"/>
      <c r="W309" s="8"/>
      <c r="X309" s="8"/>
      <c r="Y309" s="8"/>
      <c r="Z309" s="8"/>
      <c r="AA309" s="8"/>
      <c r="AB309" s="529"/>
      <c r="AC309" s="529"/>
      <c r="AD309" s="529"/>
      <c r="AE309" s="529"/>
      <c r="AF309" s="529"/>
      <c r="AG309" s="529"/>
      <c r="AH309" s="529"/>
      <c r="AI309" s="529"/>
      <c r="AJ309" s="529"/>
      <c r="AK309" s="529"/>
      <c r="AL309" s="529"/>
      <c r="AM309" s="529"/>
      <c r="AN309" s="529"/>
      <c r="AO309" s="529"/>
      <c r="AP309" s="529"/>
      <c r="AQ309" s="529"/>
      <c r="AR309" s="529"/>
    </row>
    <row r="310" spans="1:44" s="89" customFormat="1" x14ac:dyDescent="0.35">
      <c r="A310" s="265" t="str">
        <f t="shared" si="81"/>
        <v>Eigenfaktor --&gt;</v>
      </c>
      <c r="B310"/>
      <c r="C310" s="89" t="str">
        <f>CONCATENATE(EFs_3135[[#This Row],[Thema]]," - ",EFs_3135[[#This Row],[Bezeichnung]])</f>
        <v xml:space="preserve">Relevante_Stoffströme - </v>
      </c>
      <c r="D310" s="109" t="str">
        <f>"Relevante_Stoffströme"</f>
        <v>Relevante_Stoffströme</v>
      </c>
      <c r="E310" s="529"/>
      <c r="F310" s="529"/>
      <c r="G310" s="530"/>
      <c r="H310" s="530"/>
      <c r="I310" s="530"/>
      <c r="J310" s="530"/>
      <c r="K310" s="529"/>
      <c r="L310" s="529"/>
      <c r="M310" s="529"/>
      <c r="N310" s="529"/>
      <c r="O310" s="529"/>
      <c r="P310" s="529" t="str">
        <f t="shared" si="82"/>
        <v>-</v>
      </c>
      <c r="Q310" s="529" t="str">
        <f t="shared" si="82"/>
        <v>-</v>
      </c>
      <c r="R310" s="529"/>
      <c r="S310" s="529"/>
      <c r="T310" s="8"/>
      <c r="U310" s="8"/>
      <c r="V310" s="8"/>
      <c r="W310" s="8"/>
      <c r="X310" s="8"/>
      <c r="Y310" s="8"/>
      <c r="Z310" s="8"/>
      <c r="AA310" s="8"/>
      <c r="AB310" s="529"/>
      <c r="AC310" s="529"/>
      <c r="AD310" s="529"/>
      <c r="AE310" s="529"/>
      <c r="AF310" s="529"/>
      <c r="AG310" s="529"/>
      <c r="AH310" s="529"/>
      <c r="AI310" s="529"/>
      <c r="AJ310" s="529"/>
      <c r="AK310" s="529"/>
      <c r="AL310" s="529"/>
      <c r="AM310" s="529"/>
      <c r="AN310" s="529"/>
      <c r="AO310" s="529"/>
      <c r="AP310" s="529"/>
      <c r="AQ310" s="529"/>
      <c r="AR310" s="529"/>
    </row>
    <row r="311" spans="1:44" s="89" customFormat="1" x14ac:dyDescent="0.35">
      <c r="A311" s="265" t="str">
        <f t="shared" si="81"/>
        <v>Eigenfaktor --&gt;</v>
      </c>
      <c r="B311"/>
      <c r="C311" s="89" t="str">
        <f>CONCATENATE(EFs_3135[[#This Row],[Thema]]," - ",EFs_3135[[#This Row],[Bezeichnung]])</f>
        <v xml:space="preserve">Relevante_Stoffströme - </v>
      </c>
      <c r="D311" s="109" t="str">
        <f>"Relevante_Stoffströme"</f>
        <v>Relevante_Stoffströme</v>
      </c>
      <c r="E311" s="529"/>
      <c r="F311" s="529"/>
      <c r="G311" s="530"/>
      <c r="H311" s="530"/>
      <c r="I311" s="530"/>
      <c r="J311" s="530"/>
      <c r="K311" s="529"/>
      <c r="L311" s="529"/>
      <c r="M311" s="529"/>
      <c r="N311" s="529"/>
      <c r="O311" s="529"/>
      <c r="P311" s="529" t="str">
        <f t="shared" si="82"/>
        <v>-</v>
      </c>
      <c r="Q311" s="529" t="str">
        <f t="shared" si="82"/>
        <v>-</v>
      </c>
      <c r="R311" s="529"/>
      <c r="S311" s="529"/>
      <c r="T311" s="8"/>
      <c r="U311" s="8"/>
      <c r="V311" s="8"/>
      <c r="W311" s="8"/>
      <c r="X311" s="8"/>
      <c r="Y311" s="8"/>
      <c r="Z311" s="8"/>
      <c r="AA311" s="8"/>
      <c r="AB311" s="529"/>
      <c r="AC311" s="529"/>
      <c r="AD311" s="529"/>
      <c r="AE311" s="529"/>
      <c r="AF311" s="529"/>
      <c r="AG311" s="529"/>
      <c r="AH311" s="529"/>
      <c r="AI311" s="529"/>
      <c r="AJ311" s="529"/>
      <c r="AK311" s="529"/>
      <c r="AL311" s="529"/>
      <c r="AM311" s="529"/>
      <c r="AN311" s="529"/>
      <c r="AO311" s="529"/>
      <c r="AP311" s="529"/>
      <c r="AQ311" s="529"/>
      <c r="AR311" s="529"/>
    </row>
    <row r="312" spans="1:44" s="89" customFormat="1" x14ac:dyDescent="0.35">
      <c r="A312" s="265" t="str">
        <f t="shared" si="81"/>
        <v>Eigenfaktor --&gt;</v>
      </c>
      <c r="B312"/>
      <c r="C312" s="89" t="str">
        <f>CONCATENATE(EFs_3135[[#This Row],[Thema]]," - ",EFs_3135[[#This Row],[Bezeichnung]])</f>
        <v xml:space="preserve">Relevante_Stoffströme - </v>
      </c>
      <c r="D312" s="109" t="str">
        <f>"Relevante_Stoffströme"</f>
        <v>Relevante_Stoffströme</v>
      </c>
      <c r="E312" s="529"/>
      <c r="F312" s="529"/>
      <c r="G312" s="530"/>
      <c r="H312" s="530"/>
      <c r="I312" s="530"/>
      <c r="J312" s="530"/>
      <c r="K312" s="529"/>
      <c r="L312" s="529"/>
      <c r="M312" s="529"/>
      <c r="N312" s="529"/>
      <c r="O312" s="529"/>
      <c r="P312" s="529" t="str">
        <f t="shared" si="82"/>
        <v>-</v>
      </c>
      <c r="Q312" s="529" t="str">
        <f t="shared" si="82"/>
        <v>-</v>
      </c>
      <c r="R312" s="529"/>
      <c r="S312" s="529"/>
      <c r="T312" s="8"/>
      <c r="U312" s="8"/>
      <c r="V312" s="8"/>
      <c r="W312" s="8"/>
      <c r="X312" s="8"/>
      <c r="Y312" s="8"/>
      <c r="Z312" s="8"/>
      <c r="AA312" s="8"/>
      <c r="AB312" s="529"/>
      <c r="AC312" s="529"/>
      <c r="AD312" s="529"/>
      <c r="AE312" s="529"/>
      <c r="AF312" s="529"/>
      <c r="AG312" s="529"/>
      <c r="AH312" s="529"/>
      <c r="AI312" s="529"/>
      <c r="AJ312" s="529"/>
      <c r="AK312" s="529"/>
      <c r="AL312" s="529"/>
      <c r="AM312" s="529"/>
      <c r="AN312" s="529"/>
      <c r="AO312" s="529"/>
      <c r="AP312" s="529"/>
      <c r="AQ312" s="529"/>
      <c r="AR312" s="529"/>
    </row>
    <row r="313" spans="1:44" s="89" customFormat="1" x14ac:dyDescent="0.35">
      <c r="A313" s="265" t="str">
        <f t="shared" si="81"/>
        <v>Eigenfaktor --&gt;</v>
      </c>
      <c r="B313"/>
      <c r="C313" s="89" t="str">
        <f>CONCATENATE(EFs_3135[[#This Row],[Thema]]," - ",EFs_3135[[#This Row],[Bezeichnung]])</f>
        <v xml:space="preserve">Relevante_Stoffströme - </v>
      </c>
      <c r="D313" s="109" t="str">
        <f>"Relevante_Stoffströme"</f>
        <v>Relevante_Stoffströme</v>
      </c>
      <c r="E313" s="529"/>
      <c r="F313" s="529"/>
      <c r="G313" s="530"/>
      <c r="H313" s="530"/>
      <c r="I313" s="530"/>
      <c r="J313" s="530"/>
      <c r="K313" s="529"/>
      <c r="L313" s="529"/>
      <c r="M313" s="529"/>
      <c r="N313" s="529"/>
      <c r="O313" s="529"/>
      <c r="P313" s="529" t="str">
        <f t="shared" si="82"/>
        <v>-</v>
      </c>
      <c r="Q313" s="529" t="str">
        <f t="shared" si="82"/>
        <v>-</v>
      </c>
      <c r="R313" s="529"/>
      <c r="S313" s="529"/>
      <c r="T313" s="8"/>
      <c r="U313" s="8"/>
      <c r="V313" s="8"/>
      <c r="W313" s="8"/>
      <c r="X313" s="8"/>
      <c r="Y313" s="8"/>
      <c r="Z313" s="8"/>
      <c r="AA313" s="8"/>
      <c r="AB313" s="529"/>
      <c r="AC313" s="529"/>
      <c r="AD313" s="529"/>
      <c r="AE313" s="529"/>
      <c r="AF313" s="529"/>
      <c r="AG313" s="529"/>
      <c r="AH313" s="529"/>
      <c r="AI313" s="529"/>
      <c r="AJ313" s="529"/>
      <c r="AK313" s="529"/>
      <c r="AL313" s="529"/>
      <c r="AM313" s="529"/>
      <c r="AN313" s="529"/>
      <c r="AO313" s="529"/>
      <c r="AP313" s="529"/>
      <c r="AQ313" s="529"/>
      <c r="AR313" s="529"/>
    </row>
    <row r="314" spans="1:44" s="89" customFormat="1" x14ac:dyDescent="0.35">
      <c r="A314" s="265" t="str">
        <f t="shared" ref="A314:A317" si="83">"Eigenfaktor --&gt;"</f>
        <v>Eigenfaktor --&gt;</v>
      </c>
      <c r="B314"/>
      <c r="C314" s="89" t="str">
        <f>CONCATENATE(EFs_3135[[#This Row],[Thema]]," - ",EFs_3135[[#This Row],[Bezeichnung]])</f>
        <v xml:space="preserve">Relevante_Stoffströme - </v>
      </c>
      <c r="D314" s="109" t="str">
        <f t="shared" si="77"/>
        <v>Relevante_Stoffströme</v>
      </c>
      <c r="E314" s="529"/>
      <c r="F314" s="529"/>
      <c r="G314" s="530"/>
      <c r="H314" s="530"/>
      <c r="I314" s="530"/>
      <c r="J314" s="529"/>
      <c r="K314" s="529"/>
      <c r="L314" s="529"/>
      <c r="M314" s="529"/>
      <c r="N314" s="529"/>
      <c r="O314" s="529"/>
      <c r="P314" s="529" t="str">
        <f t="shared" si="80"/>
        <v>-</v>
      </c>
      <c r="Q314" s="529" t="str">
        <f t="shared" si="80"/>
        <v>-</v>
      </c>
      <c r="R314" s="529"/>
      <c r="S314" s="529"/>
      <c r="T314" s="8"/>
      <c r="U314" s="8"/>
      <c r="V314" s="8"/>
      <c r="W314" s="8"/>
      <c r="X314" s="8"/>
      <c r="Y314" s="8"/>
      <c r="Z314" s="8"/>
      <c r="AA314" s="8"/>
      <c r="AB314" s="529"/>
      <c r="AC314" s="529"/>
      <c r="AD314" s="529"/>
      <c r="AE314" s="529"/>
      <c r="AF314" s="529"/>
      <c r="AG314" s="529"/>
      <c r="AH314" s="529"/>
      <c r="AI314" s="529"/>
      <c r="AJ314" s="529"/>
      <c r="AK314" s="529"/>
      <c r="AL314" s="529"/>
      <c r="AM314" s="529"/>
      <c r="AN314" s="529"/>
      <c r="AO314" s="529"/>
      <c r="AP314" s="529"/>
      <c r="AQ314" s="529"/>
      <c r="AR314" s="529"/>
    </row>
    <row r="315" spans="1:44" s="89" customFormat="1" x14ac:dyDescent="0.35">
      <c r="A315" s="265" t="str">
        <f t="shared" si="83"/>
        <v>Eigenfaktor --&gt;</v>
      </c>
      <c r="B315"/>
      <c r="C315" s="89" t="str">
        <f>CONCATENATE(EFs_3135[[#This Row],[Thema]]," - ",EFs_3135[[#This Row],[Bezeichnung]])</f>
        <v xml:space="preserve">Relevante_Stoffströme - </v>
      </c>
      <c r="D315" s="109" t="str">
        <f t="shared" si="77"/>
        <v>Relevante_Stoffströme</v>
      </c>
      <c r="E315" s="529"/>
      <c r="F315" s="529"/>
      <c r="G315" s="530"/>
      <c r="H315" s="530"/>
      <c r="I315" s="530"/>
      <c r="J315" s="529"/>
      <c r="K315" s="529"/>
      <c r="L315" s="529"/>
      <c r="M315" s="529"/>
      <c r="N315" s="529"/>
      <c r="O315" s="529"/>
      <c r="P315" s="529" t="str">
        <f t="shared" si="80"/>
        <v>-</v>
      </c>
      <c r="Q315" s="529" t="str">
        <f t="shared" si="80"/>
        <v>-</v>
      </c>
      <c r="R315" s="529"/>
      <c r="S315" s="529"/>
      <c r="T315" s="8"/>
      <c r="U315" s="8"/>
      <c r="V315" s="8"/>
      <c r="W315" s="8"/>
      <c r="X315" s="8"/>
      <c r="Y315" s="8"/>
      <c r="Z315" s="8"/>
      <c r="AA315" s="8"/>
      <c r="AB315" s="529"/>
      <c r="AC315" s="529"/>
      <c r="AD315" s="529"/>
      <c r="AE315" s="529"/>
      <c r="AF315" s="529"/>
      <c r="AG315" s="529"/>
      <c r="AH315" s="529"/>
      <c r="AI315" s="529"/>
      <c r="AJ315" s="529"/>
      <c r="AK315" s="529"/>
      <c r="AL315" s="529"/>
      <c r="AM315" s="529"/>
      <c r="AN315" s="529"/>
      <c r="AO315" s="529"/>
      <c r="AP315" s="529"/>
      <c r="AQ315" s="529"/>
      <c r="AR315" s="529"/>
    </row>
    <row r="316" spans="1:44" s="89" customFormat="1" x14ac:dyDescent="0.35">
      <c r="A316" s="357" t="str">
        <f t="shared" si="83"/>
        <v>Eigenfaktor --&gt;</v>
      </c>
      <c r="C316" s="89" t="str">
        <f>CONCATENATE(EFs_3135[[#This Row],[Thema]]," - ",EFs_3135[[#This Row],[Bezeichnung]])</f>
        <v xml:space="preserve">Relevante_Stoffströme - </v>
      </c>
      <c r="D316" s="530" t="str">
        <f t="shared" si="77"/>
        <v>Relevante_Stoffströme</v>
      </c>
      <c r="E316" s="529"/>
      <c r="F316" s="529"/>
      <c r="G316" s="530"/>
      <c r="H316" s="530"/>
      <c r="I316" s="530"/>
      <c r="J316" s="529"/>
      <c r="K316" s="529"/>
      <c r="L316" s="529"/>
      <c r="M316" s="529"/>
      <c r="N316" s="529"/>
      <c r="O316" s="529"/>
      <c r="P316" s="529" t="str">
        <f t="shared" si="80"/>
        <v>-</v>
      </c>
      <c r="Q316" s="529" t="str">
        <f t="shared" si="80"/>
        <v>-</v>
      </c>
      <c r="R316" s="529"/>
      <c r="S316" s="529"/>
      <c r="T316" s="529"/>
      <c r="U316" s="529"/>
      <c r="V316" s="529"/>
      <c r="W316" s="529"/>
      <c r="X316" s="529"/>
      <c r="Y316" s="529"/>
      <c r="Z316" s="529"/>
      <c r="AA316" s="529"/>
      <c r="AB316" s="529"/>
      <c r="AC316" s="529"/>
      <c r="AD316" s="529"/>
      <c r="AE316" s="529"/>
      <c r="AF316" s="529"/>
      <c r="AG316" s="529"/>
      <c r="AH316" s="529"/>
      <c r="AI316" s="529"/>
      <c r="AJ316" s="529"/>
      <c r="AK316" s="529"/>
      <c r="AL316" s="529"/>
      <c r="AM316" s="529"/>
      <c r="AN316" s="529"/>
      <c r="AO316" s="529"/>
      <c r="AP316" s="529"/>
      <c r="AQ316" s="529"/>
      <c r="AR316" s="529"/>
    </row>
    <row r="317" spans="1:44" s="89" customFormat="1" x14ac:dyDescent="0.35">
      <c r="A317" s="357" t="str">
        <f t="shared" si="83"/>
        <v>Eigenfaktor --&gt;</v>
      </c>
      <c r="C317" s="89" t="str">
        <f>CONCATENATE(EFs_3135[[#This Row],[Thema]]," - ",EFs_3135[[#This Row],[Bezeichnung]])</f>
        <v xml:space="preserve">Relevante_Stoffströme - </v>
      </c>
      <c r="D317" s="530" t="str">
        <f t="shared" si="77"/>
        <v>Relevante_Stoffströme</v>
      </c>
      <c r="E317" s="529"/>
      <c r="F317" s="529"/>
      <c r="G317" s="530"/>
      <c r="H317" s="530"/>
      <c r="I317" s="530"/>
      <c r="J317" s="529"/>
      <c r="K317" s="529"/>
      <c r="L317" s="529"/>
      <c r="M317" s="529"/>
      <c r="N317" s="529"/>
      <c r="O317" s="529"/>
      <c r="P317" s="529" t="str">
        <f t="shared" si="80"/>
        <v>-</v>
      </c>
      <c r="Q317" s="529" t="str">
        <f t="shared" si="80"/>
        <v>-</v>
      </c>
      <c r="R317" s="529"/>
      <c r="S317" s="529"/>
      <c r="T317" s="529"/>
      <c r="U317" s="529"/>
      <c r="V317" s="529"/>
      <c r="W317" s="529"/>
      <c r="X317" s="529"/>
      <c r="Y317" s="529"/>
      <c r="Z317" s="529"/>
      <c r="AA317" s="529"/>
      <c r="AB317" s="529"/>
      <c r="AC317" s="529"/>
      <c r="AD317" s="529"/>
      <c r="AE317" s="529"/>
      <c r="AF317" s="529"/>
      <c r="AG317" s="529"/>
      <c r="AH317" s="529"/>
      <c r="AI317" s="529"/>
      <c r="AJ317" s="529"/>
      <c r="AK317" s="529"/>
      <c r="AL317" s="529"/>
      <c r="AM317" s="529"/>
      <c r="AN317" s="529"/>
      <c r="AO317" s="529"/>
      <c r="AP317" s="529"/>
      <c r="AQ317" s="529"/>
      <c r="AR317" s="529"/>
    </row>
    <row r="318" spans="1:44" x14ac:dyDescent="0.35">
      <c r="G318" s="530"/>
      <c r="H318" s="530"/>
      <c r="I318" s="530"/>
    </row>
    <row r="319" spans="1:44" ht="18.5" x14ac:dyDescent="0.45">
      <c r="A319"/>
      <c r="B319"/>
      <c r="C319"/>
      <c r="D319" s="527" t="s">
        <v>554</v>
      </c>
      <c r="E319" s="8"/>
      <c r="F319" s="8"/>
      <c r="G319" s="8"/>
      <c r="H319" s="8"/>
      <c r="I319" s="8"/>
      <c r="J319" s="8"/>
      <c r="K319" s="8"/>
      <c r="L319" s="8"/>
      <c r="M319" s="8"/>
      <c r="N319" s="8"/>
      <c r="O319" s="8"/>
      <c r="P319" s="8"/>
      <c r="Q319" s="8"/>
      <c r="R319" s="8"/>
      <c r="S319" s="8"/>
    </row>
    <row r="320" spans="1:44" s="42" customFormat="1" ht="29" x14ac:dyDescent="0.35">
      <c r="D320" s="266" t="s">
        <v>1</v>
      </c>
      <c r="E320" s="266" t="s">
        <v>525</v>
      </c>
      <c r="F320" s="266" t="s">
        <v>545</v>
      </c>
      <c r="G320" s="266" t="s">
        <v>546</v>
      </c>
      <c r="H320" s="266" t="s">
        <v>547</v>
      </c>
      <c r="I320" s="266" t="s">
        <v>548</v>
      </c>
      <c r="J320" s="266" t="s">
        <v>549</v>
      </c>
      <c r="K320" s="266" t="s">
        <v>550</v>
      </c>
      <c r="L320" s="266" t="s">
        <v>551</v>
      </c>
      <c r="M320" s="266" t="s">
        <v>552</v>
      </c>
      <c r="N320" s="266" t="s">
        <v>526</v>
      </c>
      <c r="O320" s="266" t="s">
        <v>21</v>
      </c>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4:44" customFormat="1" x14ac:dyDescent="0.35">
      <c r="D321" s="8" t="s">
        <v>450</v>
      </c>
      <c r="E321" s="8" t="s">
        <v>523</v>
      </c>
      <c r="F321" s="8">
        <v>1</v>
      </c>
      <c r="G321" s="8" t="s">
        <v>553</v>
      </c>
      <c r="H321" s="8" t="s">
        <v>553</v>
      </c>
      <c r="I321" s="8" t="s">
        <v>553</v>
      </c>
      <c r="J321" s="8" t="s">
        <v>553</v>
      </c>
      <c r="K321" s="8" t="s">
        <v>553</v>
      </c>
      <c r="L321" s="8" t="s">
        <v>553</v>
      </c>
      <c r="M321" s="8" t="s">
        <v>553</v>
      </c>
      <c r="N321" s="8" t="s">
        <v>683</v>
      </c>
      <c r="O321" s="8" t="s">
        <v>125</v>
      </c>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4:44" customFormat="1" x14ac:dyDescent="0.35">
      <c r="D322" s="8" t="s">
        <v>444</v>
      </c>
      <c r="E322" s="8" t="s">
        <v>523</v>
      </c>
      <c r="F322" s="8" t="s">
        <v>553</v>
      </c>
      <c r="G322" s="8">
        <v>27</v>
      </c>
      <c r="H322" s="8" t="s">
        <v>553</v>
      </c>
      <c r="I322" s="8" t="s">
        <v>553</v>
      </c>
      <c r="J322" s="8" t="s">
        <v>553</v>
      </c>
      <c r="K322" s="8" t="s">
        <v>553</v>
      </c>
      <c r="L322" s="8" t="s">
        <v>553</v>
      </c>
      <c r="M322" s="8" t="s">
        <v>553</v>
      </c>
      <c r="N322" s="8" t="s">
        <v>683</v>
      </c>
      <c r="O322" s="8" t="s">
        <v>125</v>
      </c>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4:44" customFormat="1" x14ac:dyDescent="0.35">
      <c r="D323" s="8" t="s">
        <v>445</v>
      </c>
      <c r="E323" s="8" t="s">
        <v>523</v>
      </c>
      <c r="F323" s="8" t="s">
        <v>553</v>
      </c>
      <c r="G323" s="8" t="s">
        <v>553</v>
      </c>
      <c r="H323" s="8">
        <v>273</v>
      </c>
      <c r="I323" s="8" t="s">
        <v>553</v>
      </c>
      <c r="J323" s="8" t="s">
        <v>553</v>
      </c>
      <c r="K323" s="8" t="s">
        <v>553</v>
      </c>
      <c r="L323" s="8" t="s">
        <v>553</v>
      </c>
      <c r="M323" s="8" t="s">
        <v>553</v>
      </c>
      <c r="N323" s="8" t="s">
        <v>683</v>
      </c>
      <c r="O323" s="8" t="s">
        <v>125</v>
      </c>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4:44" customFormat="1" x14ac:dyDescent="0.35">
      <c r="D324" s="8" t="s">
        <v>446</v>
      </c>
      <c r="E324" s="8" t="s">
        <v>523</v>
      </c>
      <c r="F324" s="8" t="s">
        <v>553</v>
      </c>
      <c r="G324" s="8" t="s">
        <v>553</v>
      </c>
      <c r="H324" s="8" t="s">
        <v>553</v>
      </c>
      <c r="I324" s="8" t="s">
        <v>553</v>
      </c>
      <c r="J324" s="8" t="s">
        <v>553</v>
      </c>
      <c r="K324" s="8">
        <v>24300</v>
      </c>
      <c r="L324" s="8" t="s">
        <v>553</v>
      </c>
      <c r="M324" s="8" t="s">
        <v>553</v>
      </c>
      <c r="N324" s="8" t="s">
        <v>683</v>
      </c>
      <c r="O324" s="8" t="s">
        <v>125</v>
      </c>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4:44" customFormat="1" x14ac:dyDescent="0.35">
      <c r="D325" s="8" t="s">
        <v>447</v>
      </c>
      <c r="E325" s="8" t="s">
        <v>523</v>
      </c>
      <c r="F325" s="8" t="s">
        <v>553</v>
      </c>
      <c r="G325" s="8" t="s">
        <v>553</v>
      </c>
      <c r="H325" s="8" t="s">
        <v>553</v>
      </c>
      <c r="I325" s="8" t="s">
        <v>553</v>
      </c>
      <c r="J325" s="8" t="s">
        <v>553</v>
      </c>
      <c r="K325" s="8" t="s">
        <v>553</v>
      </c>
      <c r="L325" s="8">
        <v>17400</v>
      </c>
      <c r="M325" s="8" t="s">
        <v>553</v>
      </c>
      <c r="N325" s="8" t="s">
        <v>683</v>
      </c>
      <c r="O325" s="8" t="s">
        <v>125</v>
      </c>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4:44" customFormat="1" x14ac:dyDescent="0.35">
      <c r="D326" s="8" t="s">
        <v>135</v>
      </c>
      <c r="E326" s="8" t="s">
        <v>523</v>
      </c>
      <c r="F326" s="8" t="s">
        <v>553</v>
      </c>
      <c r="G326" s="8" t="s">
        <v>553</v>
      </c>
      <c r="H326" s="8" t="s">
        <v>553</v>
      </c>
      <c r="I326" s="8" t="s">
        <v>553</v>
      </c>
      <c r="J326" s="8" t="s">
        <v>553</v>
      </c>
      <c r="K326" s="8" t="s">
        <v>553</v>
      </c>
      <c r="L326" s="8" t="s">
        <v>553</v>
      </c>
      <c r="M326" s="8">
        <v>12500</v>
      </c>
      <c r="N326" s="8" t="s">
        <v>683</v>
      </c>
      <c r="O326" s="8" t="s">
        <v>125</v>
      </c>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4:44" customFormat="1" x14ac:dyDescent="0.35">
      <c r="D327" s="8" t="s">
        <v>136</v>
      </c>
      <c r="E327" s="8" t="s">
        <v>523</v>
      </c>
      <c r="F327" s="8" t="s">
        <v>553</v>
      </c>
      <c r="G327" s="8" t="s">
        <v>553</v>
      </c>
      <c r="H327" s="8" t="s">
        <v>553</v>
      </c>
      <c r="I327" s="8" t="s">
        <v>553</v>
      </c>
      <c r="J327" s="8" t="s">
        <v>553</v>
      </c>
      <c r="K327" s="8" t="s">
        <v>553</v>
      </c>
      <c r="L327" s="8" t="s">
        <v>553</v>
      </c>
      <c r="M327" s="8">
        <v>90.4</v>
      </c>
      <c r="N327" s="8" t="s">
        <v>683</v>
      </c>
      <c r="O327" s="8" t="s">
        <v>125</v>
      </c>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4:44" customFormat="1" x14ac:dyDescent="0.35">
      <c r="D328" s="8" t="s">
        <v>137</v>
      </c>
      <c r="E328" s="8" t="s">
        <v>523</v>
      </c>
      <c r="F328" s="8" t="s">
        <v>553</v>
      </c>
      <c r="G328" s="8" t="s">
        <v>553</v>
      </c>
      <c r="H328" s="8" t="s">
        <v>553</v>
      </c>
      <c r="I328" s="8" t="s">
        <v>553</v>
      </c>
      <c r="J328" s="8" t="s">
        <v>553</v>
      </c>
      <c r="K328" s="8" t="s">
        <v>553</v>
      </c>
      <c r="L328" s="8" t="s">
        <v>553</v>
      </c>
      <c r="M328" s="8">
        <v>1960</v>
      </c>
      <c r="N328" s="8" t="s">
        <v>683</v>
      </c>
      <c r="O328" s="8" t="s">
        <v>125</v>
      </c>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4:44" customFormat="1" x14ac:dyDescent="0.35">
      <c r="D329" s="8" t="s">
        <v>138</v>
      </c>
      <c r="E329" s="8" t="s">
        <v>523</v>
      </c>
      <c r="F329" s="8" t="s">
        <v>553</v>
      </c>
      <c r="G329" s="8" t="s">
        <v>553</v>
      </c>
      <c r="H329" s="8" t="s">
        <v>553</v>
      </c>
      <c r="I329" s="8" t="s">
        <v>553</v>
      </c>
      <c r="J329" s="8" t="s">
        <v>553</v>
      </c>
      <c r="K329" s="8" t="s">
        <v>553</v>
      </c>
      <c r="L329" s="8" t="s">
        <v>553</v>
      </c>
      <c r="M329" s="8" t="s">
        <v>553</v>
      </c>
      <c r="N329" s="8" t="s">
        <v>683</v>
      </c>
      <c r="O329" s="8" t="s">
        <v>125</v>
      </c>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4:44" customFormat="1" x14ac:dyDescent="0.35">
      <c r="D330" s="8" t="s">
        <v>139</v>
      </c>
      <c r="E330" s="8" t="s">
        <v>523</v>
      </c>
      <c r="F330" s="8" t="s">
        <v>553</v>
      </c>
      <c r="G330" s="8" t="s">
        <v>553</v>
      </c>
      <c r="H330" s="8" t="s">
        <v>553</v>
      </c>
      <c r="I330" s="8" t="s">
        <v>553</v>
      </c>
      <c r="J330" s="8" t="s">
        <v>553</v>
      </c>
      <c r="K330" s="8" t="s">
        <v>553</v>
      </c>
      <c r="L330" s="8" t="s">
        <v>553</v>
      </c>
      <c r="M330" s="8" t="s">
        <v>553</v>
      </c>
      <c r="N330" s="8" t="s">
        <v>683</v>
      </c>
      <c r="O330" s="8" t="s">
        <v>125</v>
      </c>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row r="331" spans="4:44" customFormat="1" x14ac:dyDescent="0.35">
      <c r="D331" s="8" t="s">
        <v>140</v>
      </c>
      <c r="E331" s="8" t="s">
        <v>523</v>
      </c>
      <c r="F331" s="8" t="s">
        <v>553</v>
      </c>
      <c r="G331" s="8" t="s">
        <v>553</v>
      </c>
      <c r="H331" s="8" t="s">
        <v>553</v>
      </c>
      <c r="I331" s="8" t="s">
        <v>553</v>
      </c>
      <c r="J331" s="8" t="s">
        <v>553</v>
      </c>
      <c r="K331" s="8" t="s">
        <v>553</v>
      </c>
      <c r="L331" s="8" t="s">
        <v>553</v>
      </c>
      <c r="M331" s="8" t="s">
        <v>553</v>
      </c>
      <c r="N331" s="8" t="s">
        <v>683</v>
      </c>
      <c r="O331" s="8" t="s">
        <v>125</v>
      </c>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row>
    <row r="332" spans="4:44" customFormat="1" x14ac:dyDescent="0.35">
      <c r="D332" s="8" t="s">
        <v>141</v>
      </c>
      <c r="E332" s="8" t="s">
        <v>523</v>
      </c>
      <c r="F332" s="8" t="s">
        <v>553</v>
      </c>
      <c r="G332" s="8" t="s">
        <v>553</v>
      </c>
      <c r="H332" s="8" t="s">
        <v>553</v>
      </c>
      <c r="I332" s="8" t="s">
        <v>553</v>
      </c>
      <c r="J332" s="8" t="s">
        <v>553</v>
      </c>
      <c r="K332" s="8" t="s">
        <v>553</v>
      </c>
      <c r="L332" s="8" t="s">
        <v>553</v>
      </c>
      <c r="M332" s="8" t="s">
        <v>553</v>
      </c>
      <c r="N332" s="8" t="s">
        <v>683</v>
      </c>
      <c r="O332" s="8" t="s">
        <v>125</v>
      </c>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row>
    <row r="333" spans="4:44" customFormat="1" x14ac:dyDescent="0.35">
      <c r="D333" s="8" t="s">
        <v>142</v>
      </c>
      <c r="E333" s="8" t="s">
        <v>523</v>
      </c>
      <c r="F333" s="8" t="s">
        <v>553</v>
      </c>
      <c r="G333" s="8" t="s">
        <v>553</v>
      </c>
      <c r="H333" s="8" t="s">
        <v>553</v>
      </c>
      <c r="I333" s="8" t="s">
        <v>553</v>
      </c>
      <c r="J333" s="8" t="s">
        <v>553</v>
      </c>
      <c r="K333" s="8" t="s">
        <v>553</v>
      </c>
      <c r="L333" s="8" t="s">
        <v>553</v>
      </c>
      <c r="M333" s="8" t="s">
        <v>553</v>
      </c>
      <c r="N333" s="8" t="s">
        <v>683</v>
      </c>
      <c r="O333" s="8" t="s">
        <v>125</v>
      </c>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row>
    <row r="334" spans="4:44" customFormat="1" x14ac:dyDescent="0.35">
      <c r="D334" s="8" t="s">
        <v>143</v>
      </c>
      <c r="E334" s="8" t="s">
        <v>523</v>
      </c>
      <c r="F334" s="8" t="s">
        <v>553</v>
      </c>
      <c r="G334" s="8" t="s">
        <v>553</v>
      </c>
      <c r="H334" s="8" t="s">
        <v>553</v>
      </c>
      <c r="I334" s="8" t="s">
        <v>553</v>
      </c>
      <c r="J334" s="8" t="s">
        <v>553</v>
      </c>
      <c r="K334" s="8" t="s">
        <v>553</v>
      </c>
      <c r="L334" s="8" t="s">
        <v>553</v>
      </c>
      <c r="M334" s="8" t="s">
        <v>553</v>
      </c>
      <c r="N334" s="8" t="s">
        <v>683</v>
      </c>
      <c r="O334" s="8" t="s">
        <v>125</v>
      </c>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row>
    <row r="335" spans="4:44" customFormat="1" x14ac:dyDescent="0.35">
      <c r="D335" s="8" t="s">
        <v>144</v>
      </c>
      <c r="E335" s="8" t="s">
        <v>523</v>
      </c>
      <c r="F335" s="8" t="s">
        <v>553</v>
      </c>
      <c r="G335" s="8" t="s">
        <v>553</v>
      </c>
      <c r="H335" s="8" t="s">
        <v>553</v>
      </c>
      <c r="I335" s="8" t="s">
        <v>553</v>
      </c>
      <c r="J335" s="8" t="s">
        <v>553</v>
      </c>
      <c r="K335" s="8" t="s">
        <v>553</v>
      </c>
      <c r="L335" s="8" t="s">
        <v>553</v>
      </c>
      <c r="M335" s="8">
        <v>0.501</v>
      </c>
      <c r="N335" s="8" t="s">
        <v>683</v>
      </c>
      <c r="O335" s="8" t="s">
        <v>125</v>
      </c>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row>
    <row r="336" spans="4:44" customFormat="1" x14ac:dyDescent="0.35">
      <c r="D336" s="8" t="s">
        <v>145</v>
      </c>
      <c r="E336" s="8" t="s">
        <v>523</v>
      </c>
      <c r="F336" s="8" t="s">
        <v>553</v>
      </c>
      <c r="G336" s="8" t="s">
        <v>553</v>
      </c>
      <c r="H336" s="8" t="s">
        <v>553</v>
      </c>
      <c r="I336" s="8" t="s">
        <v>553</v>
      </c>
      <c r="J336" s="8" t="s">
        <v>553</v>
      </c>
      <c r="K336" s="8" t="s">
        <v>553</v>
      </c>
      <c r="L336" s="8" t="s">
        <v>553</v>
      </c>
      <c r="M336" s="8">
        <v>0.315</v>
      </c>
      <c r="N336" s="8" t="s">
        <v>683</v>
      </c>
      <c r="O336" s="8" t="s">
        <v>125</v>
      </c>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row>
    <row r="337" spans="4:44" customFormat="1" x14ac:dyDescent="0.35">
      <c r="D337" s="8" t="s">
        <v>153</v>
      </c>
      <c r="E337" s="8" t="s">
        <v>523</v>
      </c>
      <c r="F337" s="8" t="s">
        <v>553</v>
      </c>
      <c r="G337" s="8" t="s">
        <v>553</v>
      </c>
      <c r="H337" s="8" t="s">
        <v>553</v>
      </c>
      <c r="I337" s="8" t="s">
        <v>553</v>
      </c>
      <c r="J337" s="8" t="s">
        <v>553</v>
      </c>
      <c r="K337" s="8" t="s">
        <v>553</v>
      </c>
      <c r="L337" s="8" t="s">
        <v>553</v>
      </c>
      <c r="M337" s="8" t="s">
        <v>553</v>
      </c>
      <c r="N337" s="8" t="s">
        <v>683</v>
      </c>
      <c r="O337" s="8" t="s">
        <v>125</v>
      </c>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row>
    <row r="338" spans="4:44" customFormat="1" x14ac:dyDescent="0.35">
      <c r="D338" s="8" t="s">
        <v>146</v>
      </c>
      <c r="E338" s="8" t="s">
        <v>523</v>
      </c>
      <c r="F338" s="8" t="s">
        <v>553</v>
      </c>
      <c r="G338" s="8" t="s">
        <v>553</v>
      </c>
      <c r="H338" s="8" t="s">
        <v>553</v>
      </c>
      <c r="I338" s="8" t="s">
        <v>553</v>
      </c>
      <c r="J338" s="8" t="s">
        <v>553</v>
      </c>
      <c r="K338" s="8" t="s">
        <v>553</v>
      </c>
      <c r="L338" s="8" t="s">
        <v>553</v>
      </c>
      <c r="M338" s="8">
        <v>3.7</v>
      </c>
      <c r="N338" s="8" t="s">
        <v>684</v>
      </c>
      <c r="O338" s="8" t="s">
        <v>125</v>
      </c>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row>
    <row r="339" spans="4:44" customFormat="1" x14ac:dyDescent="0.35">
      <c r="D339" s="8" t="s">
        <v>147</v>
      </c>
      <c r="E339" s="8" t="s">
        <v>523</v>
      </c>
      <c r="F339" s="8" t="s">
        <v>553</v>
      </c>
      <c r="G339" s="8" t="s">
        <v>553</v>
      </c>
      <c r="H339" s="8" t="s">
        <v>553</v>
      </c>
      <c r="I339" s="8" t="s">
        <v>553</v>
      </c>
      <c r="J339" s="8" t="s">
        <v>553</v>
      </c>
      <c r="K339" s="8" t="s">
        <v>553</v>
      </c>
      <c r="L339" s="8" t="s">
        <v>553</v>
      </c>
      <c r="M339" s="8">
        <v>1</v>
      </c>
      <c r="N339" s="8" t="s">
        <v>684</v>
      </c>
      <c r="O339" s="8" t="s">
        <v>125</v>
      </c>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row>
    <row r="340" spans="4:44" customFormat="1" x14ac:dyDescent="0.35">
      <c r="D340" s="8" t="s">
        <v>148</v>
      </c>
      <c r="E340" s="8" t="s">
        <v>523</v>
      </c>
      <c r="F340" s="8" t="s">
        <v>553</v>
      </c>
      <c r="G340" s="8" t="s">
        <v>553</v>
      </c>
      <c r="H340" s="8" t="s">
        <v>553</v>
      </c>
      <c r="I340" s="8" t="s">
        <v>553</v>
      </c>
      <c r="J340" s="8" t="s">
        <v>553</v>
      </c>
      <c r="K340" s="8" t="s">
        <v>553</v>
      </c>
      <c r="L340" s="8" t="s">
        <v>553</v>
      </c>
      <c r="M340" s="8">
        <v>0.437</v>
      </c>
      <c r="N340" s="8" t="s">
        <v>683</v>
      </c>
      <c r="O340" s="8" t="s">
        <v>125</v>
      </c>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row>
    <row r="341" spans="4:44" customFormat="1" x14ac:dyDescent="0.35">
      <c r="D341" s="8" t="s">
        <v>149</v>
      </c>
      <c r="E341" s="8" t="s">
        <v>523</v>
      </c>
      <c r="F341" s="8" t="s">
        <v>553</v>
      </c>
      <c r="G341" s="8" t="s">
        <v>553</v>
      </c>
      <c r="H341" s="8" t="s">
        <v>553</v>
      </c>
      <c r="I341" s="8" t="s">
        <v>553</v>
      </c>
      <c r="J341" s="8" t="s">
        <v>553</v>
      </c>
      <c r="K341" s="8" t="s">
        <v>553</v>
      </c>
      <c r="L341" s="8" t="s">
        <v>553</v>
      </c>
      <c r="M341" s="8">
        <v>0.02</v>
      </c>
      <c r="N341" s="8" t="s">
        <v>683</v>
      </c>
      <c r="O341" s="8" t="s">
        <v>125</v>
      </c>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row>
    <row r="342" spans="4:44" customFormat="1" x14ac:dyDescent="0.35">
      <c r="D342" s="8" t="s">
        <v>154</v>
      </c>
      <c r="E342" s="8" t="s">
        <v>524</v>
      </c>
      <c r="F342" s="8" t="s">
        <v>553</v>
      </c>
      <c r="G342" s="8" t="s">
        <v>553</v>
      </c>
      <c r="H342" s="8" t="s">
        <v>553</v>
      </c>
      <c r="I342" s="8">
        <v>164</v>
      </c>
      <c r="J342" s="8" t="s">
        <v>553</v>
      </c>
      <c r="K342" s="8" t="s">
        <v>553</v>
      </c>
      <c r="L342" s="8" t="s">
        <v>553</v>
      </c>
      <c r="M342" s="8">
        <v>1427</v>
      </c>
      <c r="N342" s="8" t="s">
        <v>685</v>
      </c>
      <c r="O342" s="8" t="s">
        <v>555</v>
      </c>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row>
    <row r="343" spans="4:44" customFormat="1" x14ac:dyDescent="0.35">
      <c r="D343" s="8" t="s">
        <v>155</v>
      </c>
      <c r="E343" s="8" t="s">
        <v>524</v>
      </c>
      <c r="F343" s="8" t="s">
        <v>553</v>
      </c>
      <c r="G343" s="8" t="s">
        <v>553</v>
      </c>
      <c r="H343" s="8" t="s">
        <v>553</v>
      </c>
      <c r="I343" s="8">
        <v>164</v>
      </c>
      <c r="J343" s="8" t="s">
        <v>553</v>
      </c>
      <c r="K343" s="8" t="s">
        <v>553</v>
      </c>
      <c r="L343" s="8" t="s">
        <v>553</v>
      </c>
      <c r="M343" s="8">
        <v>1531</v>
      </c>
      <c r="N343" s="8" t="s">
        <v>685</v>
      </c>
      <c r="O343" s="8" t="s">
        <v>555</v>
      </c>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row>
    <row r="344" spans="4:44" customFormat="1" x14ac:dyDescent="0.35">
      <c r="D344" s="8" t="s">
        <v>156</v>
      </c>
      <c r="E344" s="8" t="s">
        <v>524</v>
      </c>
      <c r="F344" s="8" t="s">
        <v>553</v>
      </c>
      <c r="G344" s="8" t="s">
        <v>553</v>
      </c>
      <c r="H344" s="8" t="s">
        <v>553</v>
      </c>
      <c r="I344" s="8">
        <v>3740</v>
      </c>
      <c r="J344" s="8" t="s">
        <v>553</v>
      </c>
      <c r="K344" s="8" t="s">
        <v>553</v>
      </c>
      <c r="L344" s="8" t="s">
        <v>553</v>
      </c>
      <c r="M344" s="8">
        <v>1862</v>
      </c>
      <c r="N344" s="8" t="s">
        <v>685</v>
      </c>
      <c r="O344" s="8" t="s">
        <v>555</v>
      </c>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row>
    <row r="345" spans="4:44" customFormat="1" x14ac:dyDescent="0.35">
      <c r="D345" s="8" t="s">
        <v>157</v>
      </c>
      <c r="E345" s="8" t="s">
        <v>524</v>
      </c>
      <c r="F345" s="8" t="s">
        <v>553</v>
      </c>
      <c r="G345" s="8" t="s">
        <v>553</v>
      </c>
      <c r="H345" s="8" t="s">
        <v>553</v>
      </c>
      <c r="I345" s="8">
        <v>3740</v>
      </c>
      <c r="J345" s="8" t="s">
        <v>553</v>
      </c>
      <c r="K345" s="8" t="s">
        <v>553</v>
      </c>
      <c r="L345" s="8" t="s">
        <v>553</v>
      </c>
      <c r="M345" s="8">
        <v>1897</v>
      </c>
      <c r="N345" s="8" t="s">
        <v>685</v>
      </c>
      <c r="O345" s="8" t="s">
        <v>555</v>
      </c>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row>
    <row r="346" spans="4:44" customFormat="1" x14ac:dyDescent="0.35">
      <c r="D346" s="8" t="s">
        <v>158</v>
      </c>
      <c r="E346" s="8" t="s">
        <v>524</v>
      </c>
      <c r="F346" s="8" t="s">
        <v>553</v>
      </c>
      <c r="G346" s="8" t="s">
        <v>553</v>
      </c>
      <c r="H346" s="8" t="s">
        <v>553</v>
      </c>
      <c r="I346" s="8">
        <v>4728</v>
      </c>
      <c r="J346" s="8" t="s">
        <v>553</v>
      </c>
      <c r="K346" s="8" t="s">
        <v>553</v>
      </c>
      <c r="L346" s="8" t="s">
        <v>553</v>
      </c>
      <c r="M346" s="8" t="s">
        <v>553</v>
      </c>
      <c r="N346" s="8" t="s">
        <v>685</v>
      </c>
      <c r="O346" s="8" t="s">
        <v>555</v>
      </c>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row>
    <row r="347" spans="4:44" customFormat="1" x14ac:dyDescent="0.35">
      <c r="D347" s="8" t="s">
        <v>159</v>
      </c>
      <c r="E347" s="8" t="s">
        <v>524</v>
      </c>
      <c r="F347" s="8" t="s">
        <v>553</v>
      </c>
      <c r="G347" s="8" t="s">
        <v>553</v>
      </c>
      <c r="H347" s="8" t="s">
        <v>553</v>
      </c>
      <c r="I347" s="8">
        <v>2262</v>
      </c>
      <c r="J347" s="8" t="s">
        <v>553</v>
      </c>
      <c r="K347" s="8" t="s">
        <v>553</v>
      </c>
      <c r="L347" s="8" t="s">
        <v>553</v>
      </c>
      <c r="M347" s="8" t="s">
        <v>553</v>
      </c>
      <c r="N347" s="8" t="s">
        <v>685</v>
      </c>
      <c r="O347" s="8" t="s">
        <v>555</v>
      </c>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row>
    <row r="348" spans="4:44" customFormat="1" x14ac:dyDescent="0.35">
      <c r="D348" s="8" t="s">
        <v>160</v>
      </c>
      <c r="E348" s="8" t="s">
        <v>524</v>
      </c>
      <c r="F348" s="8" t="s">
        <v>553</v>
      </c>
      <c r="G348" s="8" t="s">
        <v>553</v>
      </c>
      <c r="H348" s="8" t="s">
        <v>553</v>
      </c>
      <c r="I348" s="8">
        <v>1908</v>
      </c>
      <c r="J348" s="8" t="s">
        <v>553</v>
      </c>
      <c r="K348" s="8" t="s">
        <v>553</v>
      </c>
      <c r="L348" s="8" t="s">
        <v>553</v>
      </c>
      <c r="M348" s="8" t="s">
        <v>553</v>
      </c>
      <c r="N348" s="8" t="s">
        <v>685</v>
      </c>
      <c r="O348" s="8" t="s">
        <v>555</v>
      </c>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row>
    <row r="349" spans="4:44" customFormat="1" x14ac:dyDescent="0.35">
      <c r="D349" s="8" t="s">
        <v>161</v>
      </c>
      <c r="E349" s="8" t="s">
        <v>524</v>
      </c>
      <c r="F349" s="8" t="s">
        <v>553</v>
      </c>
      <c r="G349" s="8" t="s">
        <v>553</v>
      </c>
      <c r="H349" s="8" t="s">
        <v>553</v>
      </c>
      <c r="I349" s="8">
        <v>1965</v>
      </c>
      <c r="J349" s="8" t="s">
        <v>553</v>
      </c>
      <c r="K349" s="8" t="s">
        <v>553</v>
      </c>
      <c r="L349" s="8" t="s">
        <v>553</v>
      </c>
      <c r="M349" s="8" t="s">
        <v>553</v>
      </c>
      <c r="N349" s="8" t="s">
        <v>685</v>
      </c>
      <c r="O349" s="8" t="s">
        <v>555</v>
      </c>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row>
    <row r="350" spans="4:44" customFormat="1" x14ac:dyDescent="0.35">
      <c r="D350" s="8" t="s">
        <v>162</v>
      </c>
      <c r="E350" s="8" t="s">
        <v>524</v>
      </c>
      <c r="F350" s="8" t="s">
        <v>553</v>
      </c>
      <c r="G350" s="8" t="s">
        <v>553</v>
      </c>
      <c r="H350" s="8" t="s">
        <v>553</v>
      </c>
      <c r="I350" s="8">
        <v>5537</v>
      </c>
      <c r="J350" s="8" t="s">
        <v>553</v>
      </c>
      <c r="K350" s="8" t="s">
        <v>553</v>
      </c>
      <c r="L350" s="8" t="s">
        <v>553</v>
      </c>
      <c r="M350" s="8">
        <v>1960</v>
      </c>
      <c r="N350" s="8" t="s">
        <v>685</v>
      </c>
      <c r="O350" s="8" t="s">
        <v>555</v>
      </c>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row>
    <row r="351" spans="4:44" customFormat="1" x14ac:dyDescent="0.35">
      <c r="D351" s="8" t="s">
        <v>163</v>
      </c>
      <c r="E351" s="8" t="s">
        <v>524</v>
      </c>
      <c r="F351" s="8" t="s">
        <v>553</v>
      </c>
      <c r="G351" s="8" t="s">
        <v>553</v>
      </c>
      <c r="H351" s="8" t="s">
        <v>553</v>
      </c>
      <c r="I351" s="8" t="s">
        <v>553</v>
      </c>
      <c r="J351" s="8" t="s">
        <v>553</v>
      </c>
      <c r="K351" s="8" t="s">
        <v>553</v>
      </c>
      <c r="L351" s="8" t="s">
        <v>553</v>
      </c>
      <c r="M351" s="8">
        <v>1670</v>
      </c>
      <c r="N351" s="8" t="s">
        <v>685</v>
      </c>
      <c r="O351" s="8" t="s">
        <v>555</v>
      </c>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row>
    <row r="352" spans="4:44" customFormat="1" x14ac:dyDescent="0.35">
      <c r="D352" s="8" t="s">
        <v>164</v>
      </c>
      <c r="E352" s="8" t="s">
        <v>524</v>
      </c>
      <c r="F352" s="8" t="s">
        <v>553</v>
      </c>
      <c r="G352" s="8" t="s">
        <v>553</v>
      </c>
      <c r="H352" s="8" t="s">
        <v>553</v>
      </c>
      <c r="I352" s="8">
        <v>2256</v>
      </c>
      <c r="J352" s="8" t="s">
        <v>553</v>
      </c>
      <c r="K352" s="8" t="s">
        <v>553</v>
      </c>
      <c r="L352" s="8" t="s">
        <v>553</v>
      </c>
      <c r="M352" s="8" t="s">
        <v>553</v>
      </c>
      <c r="N352" s="8" t="s">
        <v>685</v>
      </c>
      <c r="O352" s="8" t="s">
        <v>555</v>
      </c>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row>
    <row r="353" spans="4:44" customFormat="1" x14ac:dyDescent="0.35">
      <c r="D353" s="8" t="s">
        <v>165</v>
      </c>
      <c r="E353" s="8" t="s">
        <v>524</v>
      </c>
      <c r="F353" s="8" t="s">
        <v>553</v>
      </c>
      <c r="G353" s="8" t="s">
        <v>553</v>
      </c>
      <c r="H353" s="8" t="s">
        <v>553</v>
      </c>
      <c r="I353" s="8">
        <v>2596</v>
      </c>
      <c r="J353" s="8" t="s">
        <v>553</v>
      </c>
      <c r="K353" s="8" t="s">
        <v>553</v>
      </c>
      <c r="L353" s="8" t="s">
        <v>553</v>
      </c>
      <c r="M353" s="8">
        <v>6.0000000000000001E-3</v>
      </c>
      <c r="N353" s="8" t="s">
        <v>685</v>
      </c>
      <c r="O353" s="8" t="s">
        <v>555</v>
      </c>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row>
    <row r="354" spans="4:44" customFormat="1" x14ac:dyDescent="0.35">
      <c r="D354" s="8" t="s">
        <v>166</v>
      </c>
      <c r="E354" s="8" t="s">
        <v>524</v>
      </c>
      <c r="F354" s="8" t="s">
        <v>553</v>
      </c>
      <c r="G354" s="8" t="s">
        <v>553</v>
      </c>
      <c r="H354" s="8" t="s">
        <v>553</v>
      </c>
      <c r="I354" s="8">
        <v>3477</v>
      </c>
      <c r="J354" s="8" t="s">
        <v>553</v>
      </c>
      <c r="K354" s="8" t="s">
        <v>553</v>
      </c>
      <c r="L354" s="8" t="s">
        <v>553</v>
      </c>
      <c r="M354" s="8">
        <v>1</v>
      </c>
      <c r="N354" s="8" t="s">
        <v>685</v>
      </c>
      <c r="O354" s="8" t="s">
        <v>555</v>
      </c>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row>
    <row r="355" spans="4:44" customFormat="1" x14ac:dyDescent="0.35">
      <c r="D355" s="8" t="s">
        <v>167</v>
      </c>
      <c r="E355" s="8" t="s">
        <v>524</v>
      </c>
      <c r="F355" s="8" t="s">
        <v>553</v>
      </c>
      <c r="G355" s="8" t="s">
        <v>553</v>
      </c>
      <c r="H355" s="8" t="s">
        <v>553</v>
      </c>
      <c r="I355" s="8">
        <v>3019</v>
      </c>
      <c r="J355" s="8" t="s">
        <v>553</v>
      </c>
      <c r="K355" s="8" t="s">
        <v>553</v>
      </c>
      <c r="L355" s="8" t="s">
        <v>553</v>
      </c>
      <c r="M355" s="8">
        <v>1</v>
      </c>
      <c r="N355" s="8" t="s">
        <v>685</v>
      </c>
      <c r="O355" s="8" t="s">
        <v>555</v>
      </c>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row>
    <row r="356" spans="4:44" customFormat="1" x14ac:dyDescent="0.35">
      <c r="D356" s="8" t="s">
        <v>168</v>
      </c>
      <c r="E356" s="8" t="s">
        <v>524</v>
      </c>
      <c r="F356" s="8" t="s">
        <v>553</v>
      </c>
      <c r="G356" s="8" t="s">
        <v>553</v>
      </c>
      <c r="H356" s="8" t="s">
        <v>553</v>
      </c>
      <c r="I356" s="8">
        <v>2513</v>
      </c>
      <c r="J356" s="8" t="s">
        <v>553</v>
      </c>
      <c r="K356" s="8" t="s">
        <v>553</v>
      </c>
      <c r="L356" s="8" t="s">
        <v>553</v>
      </c>
      <c r="M356" s="8" t="s">
        <v>553</v>
      </c>
      <c r="N356" s="8" t="s">
        <v>685</v>
      </c>
      <c r="O356" s="8" t="s">
        <v>555</v>
      </c>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row>
    <row r="357" spans="4:44" customFormat="1" x14ac:dyDescent="0.35">
      <c r="D357" s="8" t="s">
        <v>169</v>
      </c>
      <c r="E357" s="8" t="s">
        <v>524</v>
      </c>
      <c r="F357" s="8" t="s">
        <v>553</v>
      </c>
      <c r="G357" s="8" t="s">
        <v>553</v>
      </c>
      <c r="H357" s="8" t="s">
        <v>553</v>
      </c>
      <c r="I357" s="8">
        <v>2675</v>
      </c>
      <c r="J357" s="8" t="s">
        <v>553</v>
      </c>
      <c r="K357" s="8" t="s">
        <v>553</v>
      </c>
      <c r="L357" s="8" t="s">
        <v>553</v>
      </c>
      <c r="M357" s="8">
        <v>0.60199999999999998</v>
      </c>
      <c r="N357" s="8" t="s">
        <v>685</v>
      </c>
      <c r="O357" s="8" t="s">
        <v>555</v>
      </c>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row>
    <row r="358" spans="4:44" customFormat="1" x14ac:dyDescent="0.35">
      <c r="D358" s="8" t="s">
        <v>170</v>
      </c>
      <c r="E358" s="8" t="s">
        <v>524</v>
      </c>
      <c r="F358" s="8" t="s">
        <v>553</v>
      </c>
      <c r="G358" s="8" t="s">
        <v>553</v>
      </c>
      <c r="H358" s="8" t="s">
        <v>553</v>
      </c>
      <c r="I358" s="8">
        <v>2397</v>
      </c>
      <c r="J358" s="8" t="s">
        <v>553</v>
      </c>
      <c r="K358" s="8" t="s">
        <v>553</v>
      </c>
      <c r="L358" s="8" t="s">
        <v>553</v>
      </c>
      <c r="M358" s="8" t="s">
        <v>553</v>
      </c>
      <c r="N358" s="8" t="s">
        <v>685</v>
      </c>
      <c r="O358" s="8" t="s">
        <v>555</v>
      </c>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row>
    <row r="359" spans="4:44" customFormat="1" x14ac:dyDescent="0.35">
      <c r="D359" s="8" t="s">
        <v>171</v>
      </c>
      <c r="E359" s="8" t="s">
        <v>524</v>
      </c>
      <c r="F359" s="8" t="s">
        <v>553</v>
      </c>
      <c r="G359" s="8" t="s">
        <v>553</v>
      </c>
      <c r="H359" s="8" t="s">
        <v>553</v>
      </c>
      <c r="I359" s="8">
        <v>4165</v>
      </c>
      <c r="J359" s="8" t="s">
        <v>553</v>
      </c>
      <c r="K359" s="8" t="s">
        <v>553</v>
      </c>
      <c r="L359" s="8" t="s">
        <v>553</v>
      </c>
      <c r="M359" s="8">
        <v>0.76500000000000001</v>
      </c>
      <c r="N359" s="8" t="s">
        <v>685</v>
      </c>
      <c r="O359" s="8" t="s">
        <v>555</v>
      </c>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row>
    <row r="360" spans="4:44" customFormat="1" x14ac:dyDescent="0.35">
      <c r="D360" s="8" t="s">
        <v>172</v>
      </c>
      <c r="E360" s="8" t="s">
        <v>524</v>
      </c>
      <c r="F360" s="8" t="s">
        <v>553</v>
      </c>
      <c r="G360" s="8" t="s">
        <v>553</v>
      </c>
      <c r="H360" s="8" t="s">
        <v>553</v>
      </c>
      <c r="I360" s="8">
        <v>3760</v>
      </c>
      <c r="J360" s="8" t="s">
        <v>553</v>
      </c>
      <c r="K360" s="8" t="s">
        <v>553</v>
      </c>
      <c r="L360" s="8" t="s">
        <v>553</v>
      </c>
      <c r="M360" s="8">
        <v>1</v>
      </c>
      <c r="N360" s="8" t="s">
        <v>685</v>
      </c>
      <c r="O360" s="8" t="s">
        <v>555</v>
      </c>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row>
    <row r="361" spans="4:44" customFormat="1" x14ac:dyDescent="0.35">
      <c r="D361" s="8" t="s">
        <v>173</v>
      </c>
      <c r="E361" s="8" t="s">
        <v>524</v>
      </c>
      <c r="F361" s="8" t="s">
        <v>553</v>
      </c>
      <c r="G361" s="8" t="s">
        <v>553</v>
      </c>
      <c r="H361" s="8" t="s">
        <v>553</v>
      </c>
      <c r="I361" s="8">
        <v>1970</v>
      </c>
      <c r="J361" s="8" t="s">
        <v>553</v>
      </c>
      <c r="K361" s="8" t="s">
        <v>553</v>
      </c>
      <c r="L361" s="8" t="s">
        <v>553</v>
      </c>
      <c r="M361" s="8">
        <v>0.30399999999999999</v>
      </c>
      <c r="N361" s="8" t="s">
        <v>685</v>
      </c>
      <c r="O361" s="8" t="s">
        <v>555</v>
      </c>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row>
    <row r="362" spans="4:44" customFormat="1" x14ac:dyDescent="0.35">
      <c r="D362" s="8" t="s">
        <v>174</v>
      </c>
      <c r="E362" s="8" t="s">
        <v>524</v>
      </c>
      <c r="F362" s="8" t="s">
        <v>553</v>
      </c>
      <c r="G362" s="8" t="s">
        <v>553</v>
      </c>
      <c r="H362" s="8" t="s">
        <v>553</v>
      </c>
      <c r="I362" s="8">
        <v>2482</v>
      </c>
      <c r="J362" s="8" t="s">
        <v>553</v>
      </c>
      <c r="K362" s="8" t="s">
        <v>553</v>
      </c>
      <c r="L362" s="8" t="s">
        <v>553</v>
      </c>
      <c r="M362" s="8">
        <v>0.26500000000000001</v>
      </c>
      <c r="N362" s="8" t="s">
        <v>685</v>
      </c>
      <c r="O362" s="8" t="s">
        <v>555</v>
      </c>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row>
    <row r="363" spans="4:44" customFormat="1" x14ac:dyDescent="0.35">
      <c r="D363" s="8" t="s">
        <v>175</v>
      </c>
      <c r="E363" s="8" t="s">
        <v>524</v>
      </c>
      <c r="F363" s="8" t="s">
        <v>553</v>
      </c>
      <c r="G363" s="8" t="s">
        <v>553</v>
      </c>
      <c r="H363" s="8" t="s">
        <v>553</v>
      </c>
      <c r="I363" s="8">
        <v>2042</v>
      </c>
      <c r="J363" s="8" t="s">
        <v>553</v>
      </c>
      <c r="K363" s="8" t="s">
        <v>553</v>
      </c>
      <c r="L363" s="8" t="s">
        <v>553</v>
      </c>
      <c r="M363" s="8" t="s">
        <v>553</v>
      </c>
      <c r="N363" s="8" t="s">
        <v>685</v>
      </c>
      <c r="O363" s="8" t="s">
        <v>555</v>
      </c>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row>
    <row r="364" spans="4:44" customFormat="1" x14ac:dyDescent="0.35">
      <c r="D364" s="8" t="s">
        <v>176</v>
      </c>
      <c r="E364" s="8" t="s">
        <v>524</v>
      </c>
      <c r="F364" s="8" t="s">
        <v>553</v>
      </c>
      <c r="G364" s="8" t="s">
        <v>553</v>
      </c>
      <c r="H364" s="8" t="s">
        <v>553</v>
      </c>
      <c r="I364" s="8" t="s">
        <v>553</v>
      </c>
      <c r="J364" s="8" t="s">
        <v>553</v>
      </c>
      <c r="K364" s="8" t="s">
        <v>553</v>
      </c>
      <c r="L364" s="8" t="s">
        <v>553</v>
      </c>
      <c r="M364" s="8">
        <v>5872</v>
      </c>
      <c r="N364" s="8" t="s">
        <v>685</v>
      </c>
      <c r="O364" s="8" t="s">
        <v>555</v>
      </c>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row>
    <row r="365" spans="4:44" customFormat="1" x14ac:dyDescent="0.35">
      <c r="D365" s="8" t="s">
        <v>177</v>
      </c>
      <c r="E365" s="8" t="s">
        <v>524</v>
      </c>
      <c r="F365" s="8" t="s">
        <v>553</v>
      </c>
      <c r="G365" s="8" t="s">
        <v>553</v>
      </c>
      <c r="H365" s="8" t="s">
        <v>553</v>
      </c>
      <c r="I365" s="8">
        <v>4775</v>
      </c>
      <c r="J365" s="8" t="s">
        <v>553</v>
      </c>
      <c r="K365" s="8" t="s">
        <v>553</v>
      </c>
      <c r="L365" s="8" t="s">
        <v>553</v>
      </c>
      <c r="M365" s="8" t="s">
        <v>553</v>
      </c>
      <c r="N365" s="8" t="s">
        <v>685</v>
      </c>
      <c r="O365" s="8" t="s">
        <v>555</v>
      </c>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row>
    <row r="366" spans="4:44" customFormat="1" x14ac:dyDescent="0.35">
      <c r="D366" s="8" t="s">
        <v>178</v>
      </c>
      <c r="E366" s="8" t="s">
        <v>524</v>
      </c>
      <c r="F366" s="8" t="s">
        <v>553</v>
      </c>
      <c r="G366" s="8" t="s">
        <v>553</v>
      </c>
      <c r="H366" s="8" t="s">
        <v>553</v>
      </c>
      <c r="I366" s="8">
        <v>14600</v>
      </c>
      <c r="J366" s="8">
        <v>12400</v>
      </c>
      <c r="K366" s="8" t="s">
        <v>553</v>
      </c>
      <c r="L366" s="8" t="s">
        <v>553</v>
      </c>
      <c r="M366" s="8" t="s">
        <v>553</v>
      </c>
      <c r="N366" s="8" t="s">
        <v>685</v>
      </c>
      <c r="O366" s="8" t="s">
        <v>555</v>
      </c>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row>
    <row r="367" spans="4:44" customFormat="1" x14ac:dyDescent="0.35">
      <c r="D367" s="8" t="s">
        <v>150</v>
      </c>
      <c r="E367" s="8" t="s">
        <v>523</v>
      </c>
      <c r="F367" s="8" t="s">
        <v>553</v>
      </c>
      <c r="G367" s="8" t="s">
        <v>553</v>
      </c>
      <c r="H367" s="8" t="s">
        <v>553</v>
      </c>
      <c r="I367" s="8" t="s">
        <v>553</v>
      </c>
      <c r="J367" s="8" t="s">
        <v>553</v>
      </c>
      <c r="K367" s="8" t="s">
        <v>553</v>
      </c>
      <c r="L367" s="8" t="s">
        <v>553</v>
      </c>
      <c r="M367" s="8">
        <v>1</v>
      </c>
      <c r="N367" s="8" t="s">
        <v>684</v>
      </c>
      <c r="O367" s="8" t="s">
        <v>125</v>
      </c>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row>
    <row r="368" spans="4:44" customFormat="1" x14ac:dyDescent="0.35">
      <c r="D368" s="8" t="s">
        <v>151</v>
      </c>
      <c r="E368" s="8" t="s">
        <v>523</v>
      </c>
      <c r="F368" s="8" t="s">
        <v>553</v>
      </c>
      <c r="G368" s="8" t="s">
        <v>553</v>
      </c>
      <c r="H368" s="8" t="s">
        <v>553</v>
      </c>
      <c r="I368" s="8" t="s">
        <v>553</v>
      </c>
      <c r="J368" s="8" t="s">
        <v>553</v>
      </c>
      <c r="K368" s="8" t="s">
        <v>553</v>
      </c>
      <c r="L368" s="8" t="s">
        <v>553</v>
      </c>
      <c r="M368" s="8" t="s">
        <v>553</v>
      </c>
      <c r="N368" s="8" t="s">
        <v>684</v>
      </c>
      <c r="O368" s="8" t="s">
        <v>125</v>
      </c>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row>
    <row r="369" spans="1:19" x14ac:dyDescent="0.35">
      <c r="A369"/>
      <c r="B369"/>
      <c r="C369"/>
      <c r="D369" s="8" t="s">
        <v>152</v>
      </c>
      <c r="E369" s="8" t="s">
        <v>523</v>
      </c>
      <c r="F369" s="8">
        <v>1</v>
      </c>
      <c r="G369" s="8" t="s">
        <v>553</v>
      </c>
      <c r="H369" s="8" t="s">
        <v>553</v>
      </c>
      <c r="I369" s="8" t="s">
        <v>553</v>
      </c>
      <c r="J369" s="8" t="s">
        <v>553</v>
      </c>
      <c r="K369" s="8" t="s">
        <v>553</v>
      </c>
      <c r="L369" s="8" t="s">
        <v>553</v>
      </c>
      <c r="M369" s="8">
        <v>0</v>
      </c>
      <c r="N369" s="8" t="s">
        <v>683</v>
      </c>
      <c r="O369" s="8" t="s">
        <v>125</v>
      </c>
      <c r="P369" s="8"/>
      <c r="Q369" s="8"/>
      <c r="R369" s="8"/>
      <c r="S369" s="8"/>
    </row>
    <row r="370" spans="1:19" x14ac:dyDescent="0.35">
      <c r="A370" s="265" t="str">
        <f>"Eigenfaktor --&gt;"</f>
        <v>Eigenfaktor --&gt;</v>
      </c>
      <c r="B370"/>
    </row>
    <row r="371" spans="1:19" x14ac:dyDescent="0.35">
      <c r="A371" s="265" t="str">
        <f t="shared" ref="A371:A379" si="84">"Eigenfaktor --&gt;"</f>
        <v>Eigenfaktor --&gt;</v>
      </c>
      <c r="B371"/>
    </row>
    <row r="372" spans="1:19" x14ac:dyDescent="0.35">
      <c r="A372" s="265" t="str">
        <f t="shared" si="84"/>
        <v>Eigenfaktor --&gt;</v>
      </c>
      <c r="B372"/>
    </row>
    <row r="373" spans="1:19" x14ac:dyDescent="0.35">
      <c r="A373" s="265" t="str">
        <f t="shared" si="84"/>
        <v>Eigenfaktor --&gt;</v>
      </c>
      <c r="B373"/>
    </row>
    <row r="374" spans="1:19" x14ac:dyDescent="0.35">
      <c r="A374" s="265" t="str">
        <f t="shared" si="84"/>
        <v>Eigenfaktor --&gt;</v>
      </c>
      <c r="B374"/>
    </row>
    <row r="375" spans="1:19" x14ac:dyDescent="0.35">
      <c r="A375" s="265" t="str">
        <f t="shared" si="84"/>
        <v>Eigenfaktor --&gt;</v>
      </c>
      <c r="B375"/>
    </row>
    <row r="376" spans="1:19" x14ac:dyDescent="0.35">
      <c r="A376" s="265" t="str">
        <f t="shared" si="84"/>
        <v>Eigenfaktor --&gt;</v>
      </c>
      <c r="B376"/>
    </row>
    <row r="377" spans="1:19" x14ac:dyDescent="0.35">
      <c r="A377" s="265" t="str">
        <f t="shared" si="84"/>
        <v>Eigenfaktor --&gt;</v>
      </c>
      <c r="B377"/>
    </row>
    <row r="378" spans="1:19" x14ac:dyDescent="0.35">
      <c r="A378" s="357" t="str">
        <f t="shared" si="84"/>
        <v>Eigenfaktor --&gt;</v>
      </c>
    </row>
    <row r="379" spans="1:19" x14ac:dyDescent="0.35">
      <c r="A379" s="357" t="str">
        <f t="shared" si="84"/>
        <v>Eigenfaktor --&gt;</v>
      </c>
    </row>
    <row r="382" spans="1:19" ht="14.5" customHeight="1" x14ac:dyDescent="0.45">
      <c r="A382" s="533" t="s">
        <v>749</v>
      </c>
      <c r="B382"/>
      <c r="C382"/>
    </row>
    <row r="383" spans="1:19" ht="7" customHeight="1" x14ac:dyDescent="0.35">
      <c r="A383" s="2"/>
      <c r="B383"/>
      <c r="C383"/>
    </row>
    <row r="384" spans="1:19" ht="14.5" customHeight="1" x14ac:dyDescent="0.35">
      <c r="B384" s="538" t="s">
        <v>750</v>
      </c>
      <c r="D384" s="689" t="s">
        <v>526</v>
      </c>
      <c r="E384" s="690"/>
      <c r="F384" s="694" t="s">
        <v>751</v>
      </c>
      <c r="G384" s="694"/>
      <c r="H384" s="694"/>
      <c r="I384" s="694"/>
    </row>
    <row r="385" spans="2:44" s="15" customFormat="1" ht="17.5" customHeight="1" x14ac:dyDescent="0.35">
      <c r="B385" s="537" t="s">
        <v>694</v>
      </c>
      <c r="D385" s="691" t="s">
        <v>752</v>
      </c>
      <c r="E385" s="691"/>
      <c r="F385" s="691" t="s">
        <v>125</v>
      </c>
      <c r="G385" s="691"/>
      <c r="H385" s="691"/>
      <c r="I385" s="691"/>
      <c r="Q385" s="155"/>
      <c r="R385" s="155"/>
      <c r="S385" s="155"/>
      <c r="T385" s="153"/>
      <c r="U385" s="153"/>
      <c r="V385" s="153"/>
      <c r="W385" s="153"/>
      <c r="X385" s="153"/>
      <c r="Y385" s="153"/>
      <c r="Z385" s="153"/>
      <c r="AA385" s="153"/>
      <c r="AB385" s="153"/>
      <c r="AC385" s="153"/>
      <c r="AD385" s="153"/>
      <c r="AE385" s="153"/>
      <c r="AF385" s="153"/>
      <c r="AG385" s="153"/>
      <c r="AH385" s="153"/>
      <c r="AI385" s="153"/>
      <c r="AJ385" s="153"/>
      <c r="AK385" s="153"/>
      <c r="AL385" s="153"/>
      <c r="AM385" s="153"/>
      <c r="AN385" s="153"/>
      <c r="AO385" s="153"/>
      <c r="AP385" s="153"/>
      <c r="AQ385" s="153"/>
      <c r="AR385" s="153"/>
    </row>
    <row r="386" spans="2:44" s="15" customFormat="1" ht="30.5" customHeight="1" x14ac:dyDescent="0.35">
      <c r="B386" s="537" t="s">
        <v>662</v>
      </c>
      <c r="D386" s="691" t="s">
        <v>753</v>
      </c>
      <c r="E386" s="691"/>
      <c r="F386" s="693" t="s">
        <v>754</v>
      </c>
      <c r="G386" s="693"/>
      <c r="H386" s="693"/>
      <c r="I386" s="693"/>
      <c r="Q386" s="155"/>
      <c r="R386" s="155"/>
      <c r="S386" s="155"/>
      <c r="T386" s="153"/>
      <c r="U386" s="153"/>
      <c r="V386" s="153"/>
      <c r="W386" s="153"/>
      <c r="X386" s="153"/>
      <c r="Y386" s="153"/>
      <c r="Z386" s="153"/>
      <c r="AA386" s="153"/>
      <c r="AB386" s="153"/>
      <c r="AC386" s="153"/>
      <c r="AD386" s="153"/>
      <c r="AE386" s="153"/>
      <c r="AF386" s="153"/>
      <c r="AG386" s="153"/>
      <c r="AH386" s="153"/>
      <c r="AI386" s="153"/>
      <c r="AJ386" s="153"/>
      <c r="AK386" s="153"/>
      <c r="AL386" s="153"/>
      <c r="AM386" s="153"/>
      <c r="AN386" s="153"/>
      <c r="AO386" s="153"/>
      <c r="AP386" s="153"/>
      <c r="AQ386" s="153"/>
      <c r="AR386" s="153"/>
    </row>
    <row r="387" spans="2:44" s="15" customFormat="1" ht="44" customHeight="1" x14ac:dyDescent="0.35">
      <c r="B387" s="537" t="s">
        <v>663</v>
      </c>
      <c r="D387" s="691" t="s">
        <v>755</v>
      </c>
      <c r="E387" s="691"/>
      <c r="F387" s="693" t="s">
        <v>756</v>
      </c>
      <c r="G387" s="693"/>
      <c r="H387" s="693"/>
      <c r="I387" s="693"/>
      <c r="Q387" s="155"/>
      <c r="R387" s="155"/>
      <c r="S387" s="155"/>
      <c r="T387" s="153"/>
      <c r="U387" s="153"/>
      <c r="V387" s="153"/>
      <c r="W387" s="153"/>
      <c r="X387" s="153"/>
      <c r="Y387" s="153"/>
      <c r="Z387" s="153"/>
      <c r="AA387" s="153"/>
      <c r="AB387" s="153"/>
      <c r="AC387" s="153"/>
      <c r="AD387" s="153"/>
      <c r="AE387" s="153"/>
      <c r="AF387" s="153"/>
      <c r="AG387" s="153"/>
      <c r="AH387" s="153"/>
      <c r="AI387" s="153"/>
      <c r="AJ387" s="153"/>
      <c r="AK387" s="153"/>
      <c r="AL387" s="153"/>
      <c r="AM387" s="153"/>
      <c r="AN387" s="153"/>
      <c r="AO387" s="153"/>
      <c r="AP387" s="153"/>
      <c r="AQ387" s="153"/>
      <c r="AR387" s="153"/>
    </row>
    <row r="388" spans="2:44" s="15" customFormat="1" ht="44.5" customHeight="1" x14ac:dyDescent="0.35">
      <c r="B388" s="537" t="s">
        <v>680</v>
      </c>
      <c r="D388" s="691" t="s">
        <v>757</v>
      </c>
      <c r="E388" s="691"/>
      <c r="F388" s="693" t="s">
        <v>758</v>
      </c>
      <c r="G388" s="693"/>
      <c r="H388" s="693"/>
      <c r="I388" s="693"/>
      <c r="Q388" s="155"/>
      <c r="R388" s="155"/>
      <c r="S388" s="155"/>
      <c r="T388" s="153"/>
      <c r="U388" s="153"/>
      <c r="V388" s="153"/>
      <c r="W388" s="153"/>
      <c r="X388" s="153"/>
      <c r="Y388" s="153"/>
      <c r="Z388" s="153"/>
      <c r="AA388" s="153"/>
      <c r="AB388" s="153"/>
      <c r="AC388" s="153"/>
      <c r="AD388" s="153"/>
      <c r="AE388" s="153"/>
      <c r="AF388" s="153"/>
      <c r="AG388" s="153"/>
      <c r="AH388" s="153"/>
      <c r="AI388" s="153"/>
      <c r="AJ388" s="153"/>
      <c r="AK388" s="153"/>
      <c r="AL388" s="153"/>
      <c r="AM388" s="153"/>
      <c r="AN388" s="153"/>
      <c r="AO388" s="153"/>
      <c r="AP388" s="153"/>
      <c r="AQ388" s="153"/>
      <c r="AR388" s="153"/>
    </row>
    <row r="389" spans="2:44" s="15" customFormat="1" ht="44" customHeight="1" x14ac:dyDescent="0.35">
      <c r="B389" s="537" t="s">
        <v>697</v>
      </c>
      <c r="D389" s="691" t="s">
        <v>759</v>
      </c>
      <c r="E389" s="691"/>
      <c r="F389" s="693" t="s">
        <v>760</v>
      </c>
      <c r="G389" s="693"/>
      <c r="H389" s="693"/>
      <c r="I389" s="693"/>
      <c r="Q389" s="155"/>
      <c r="R389" s="155"/>
      <c r="S389" s="155"/>
      <c r="T389" s="153"/>
      <c r="U389" s="153"/>
      <c r="V389" s="153"/>
      <c r="W389" s="153"/>
      <c r="X389" s="153"/>
      <c r="Y389" s="153"/>
      <c r="Z389" s="153"/>
      <c r="AA389" s="153"/>
      <c r="AB389" s="153"/>
      <c r="AC389" s="153"/>
      <c r="AD389" s="153"/>
      <c r="AE389" s="153"/>
      <c r="AF389" s="153"/>
      <c r="AG389" s="153"/>
      <c r="AH389" s="153"/>
      <c r="AI389" s="153"/>
      <c r="AJ389" s="153"/>
      <c r="AK389" s="153"/>
      <c r="AL389" s="153"/>
      <c r="AM389" s="153"/>
      <c r="AN389" s="153"/>
      <c r="AO389" s="153"/>
      <c r="AP389" s="153"/>
      <c r="AQ389" s="153"/>
      <c r="AR389" s="153"/>
    </row>
    <row r="390" spans="2:44" s="15" customFormat="1" ht="44" customHeight="1" x14ac:dyDescent="0.35">
      <c r="B390" s="537" t="s">
        <v>683</v>
      </c>
      <c r="D390" s="691" t="s">
        <v>761</v>
      </c>
      <c r="E390" s="691"/>
      <c r="F390" s="693" t="s">
        <v>762</v>
      </c>
      <c r="G390" s="693"/>
      <c r="H390" s="693"/>
      <c r="I390" s="693"/>
      <c r="Q390" s="155"/>
      <c r="R390" s="155"/>
      <c r="S390" s="155"/>
      <c r="T390" s="153"/>
      <c r="U390" s="153"/>
      <c r="V390" s="153"/>
      <c r="W390" s="153"/>
      <c r="X390" s="153"/>
      <c r="Y390" s="153"/>
      <c r="Z390" s="153"/>
      <c r="AA390" s="153"/>
      <c r="AB390" s="153"/>
      <c r="AC390" s="153"/>
      <c r="AD390" s="153"/>
      <c r="AE390" s="153"/>
      <c r="AF390" s="153"/>
      <c r="AG390" s="153"/>
      <c r="AH390" s="153"/>
      <c r="AI390" s="153"/>
      <c r="AJ390" s="153"/>
      <c r="AK390" s="153"/>
      <c r="AL390" s="153"/>
      <c r="AM390" s="153"/>
      <c r="AN390" s="153"/>
      <c r="AO390" s="153"/>
      <c r="AP390" s="153"/>
      <c r="AQ390" s="153"/>
      <c r="AR390" s="153"/>
    </row>
    <row r="391" spans="2:44" s="15" customFormat="1" ht="30.5" customHeight="1" x14ac:dyDescent="0.35">
      <c r="B391" s="537" t="s">
        <v>684</v>
      </c>
      <c r="D391" s="691" t="s">
        <v>763</v>
      </c>
      <c r="E391" s="691"/>
      <c r="F391" s="693" t="s">
        <v>764</v>
      </c>
      <c r="G391" s="693"/>
      <c r="H391" s="693"/>
      <c r="I391" s="693"/>
      <c r="Q391" s="155"/>
      <c r="R391" s="155"/>
      <c r="S391" s="155"/>
      <c r="T391" s="153"/>
      <c r="U391" s="153"/>
      <c r="V391" s="153"/>
      <c r="W391" s="153"/>
      <c r="X391" s="153"/>
      <c r="Y391" s="153"/>
      <c r="Z391" s="153"/>
      <c r="AA391" s="153"/>
      <c r="AB391" s="153"/>
      <c r="AC391" s="153"/>
      <c r="AD391" s="153"/>
      <c r="AE391" s="153"/>
      <c r="AF391" s="153"/>
      <c r="AG391" s="153"/>
      <c r="AH391" s="153"/>
      <c r="AI391" s="153"/>
      <c r="AJ391" s="153"/>
      <c r="AK391" s="153"/>
      <c r="AL391" s="153"/>
      <c r="AM391" s="153"/>
      <c r="AN391" s="153"/>
      <c r="AO391" s="153"/>
      <c r="AP391" s="153"/>
      <c r="AQ391" s="153"/>
      <c r="AR391" s="153"/>
    </row>
    <row r="392" spans="2:44" s="15" customFormat="1" ht="30.5" customHeight="1" x14ac:dyDescent="0.35">
      <c r="B392" s="537" t="s">
        <v>765</v>
      </c>
      <c r="D392" s="692" t="s">
        <v>766</v>
      </c>
      <c r="E392" s="692"/>
      <c r="F392" s="693" t="s">
        <v>767</v>
      </c>
      <c r="G392" s="693"/>
      <c r="H392" s="693"/>
      <c r="I392" s="693"/>
      <c r="Q392" s="155"/>
      <c r="R392" s="155"/>
      <c r="S392" s="155"/>
      <c r="T392" s="153"/>
      <c r="U392" s="153"/>
      <c r="V392" s="153"/>
      <c r="W392" s="153"/>
      <c r="X392" s="153"/>
      <c r="Y392" s="153"/>
      <c r="Z392" s="153"/>
      <c r="AA392" s="153"/>
      <c r="AB392" s="153"/>
      <c r="AC392" s="153"/>
      <c r="AD392" s="153"/>
      <c r="AE392" s="153"/>
      <c r="AF392" s="153"/>
      <c r="AG392" s="153"/>
      <c r="AH392" s="153"/>
      <c r="AI392" s="153"/>
      <c r="AJ392" s="153"/>
      <c r="AK392" s="153"/>
      <c r="AL392" s="153"/>
      <c r="AM392" s="153"/>
      <c r="AN392" s="153"/>
      <c r="AO392" s="153"/>
      <c r="AP392" s="153"/>
      <c r="AQ392" s="153"/>
      <c r="AR392" s="153"/>
    </row>
    <row r="393" spans="2:44" s="15" customFormat="1" ht="44" customHeight="1" x14ac:dyDescent="0.35">
      <c r="B393" s="537" t="s">
        <v>705</v>
      </c>
      <c r="D393" s="691" t="s">
        <v>768</v>
      </c>
      <c r="E393" s="691"/>
      <c r="F393" s="693" t="s">
        <v>769</v>
      </c>
      <c r="G393" s="693"/>
      <c r="H393" s="693"/>
      <c r="I393" s="693"/>
      <c r="Q393" s="155"/>
      <c r="R393" s="155"/>
      <c r="S393" s="155"/>
      <c r="T393" s="153"/>
      <c r="U393" s="153"/>
      <c r="V393" s="153"/>
      <c r="W393" s="153"/>
      <c r="X393" s="153"/>
      <c r="Y393" s="153"/>
      <c r="Z393" s="153"/>
      <c r="AA393" s="153"/>
      <c r="AB393" s="153"/>
      <c r="AC393" s="153"/>
      <c r="AD393" s="153"/>
      <c r="AE393" s="153"/>
      <c r="AF393" s="153"/>
      <c r="AG393" s="153"/>
      <c r="AH393" s="153"/>
      <c r="AI393" s="153"/>
      <c r="AJ393" s="153"/>
      <c r="AK393" s="153"/>
      <c r="AL393" s="153"/>
      <c r="AM393" s="153"/>
      <c r="AN393" s="153"/>
      <c r="AO393" s="153"/>
      <c r="AP393" s="153"/>
      <c r="AQ393" s="153"/>
      <c r="AR393" s="153"/>
    </row>
    <row r="394" spans="2:44" s="15" customFormat="1" ht="17" customHeight="1" x14ac:dyDescent="0.35">
      <c r="B394" s="537" t="s">
        <v>716</v>
      </c>
      <c r="D394" s="691" t="s">
        <v>770</v>
      </c>
      <c r="E394" s="691"/>
      <c r="F394" s="693" t="s">
        <v>771</v>
      </c>
      <c r="G394" s="693"/>
      <c r="H394" s="693"/>
      <c r="I394" s="693"/>
      <c r="Q394" s="155"/>
      <c r="R394" s="155"/>
      <c r="S394" s="155"/>
      <c r="T394" s="153"/>
      <c r="U394" s="153"/>
      <c r="V394" s="153"/>
      <c r="W394" s="153"/>
      <c r="X394" s="153"/>
      <c r="Y394" s="153"/>
      <c r="Z394" s="153"/>
      <c r="AA394" s="153"/>
      <c r="AB394" s="153"/>
      <c r="AC394" s="153"/>
      <c r="AD394" s="153"/>
      <c r="AE394" s="153"/>
      <c r="AF394" s="153"/>
      <c r="AG394" s="153"/>
      <c r="AH394" s="153"/>
      <c r="AI394" s="153"/>
      <c r="AJ394" s="153"/>
      <c r="AK394" s="153"/>
      <c r="AL394" s="153"/>
      <c r="AM394" s="153"/>
      <c r="AN394" s="153"/>
      <c r="AO394" s="153"/>
      <c r="AP394" s="153"/>
      <c r="AQ394" s="153"/>
      <c r="AR394" s="153"/>
    </row>
    <row r="395" spans="2:44" s="15" customFormat="1" ht="17" customHeight="1" x14ac:dyDescent="0.35">
      <c r="B395" s="537" t="s">
        <v>718</v>
      </c>
      <c r="D395" s="691" t="s">
        <v>772</v>
      </c>
      <c r="E395" s="691"/>
      <c r="F395" s="693" t="s">
        <v>773</v>
      </c>
      <c r="G395" s="693"/>
      <c r="H395" s="693"/>
      <c r="I395" s="693"/>
      <c r="Q395" s="155"/>
      <c r="R395" s="155"/>
      <c r="S395" s="155"/>
      <c r="T395" s="153"/>
      <c r="U395" s="153"/>
      <c r="V395" s="153"/>
      <c r="W395" s="153"/>
      <c r="X395" s="153"/>
      <c r="Y395" s="153"/>
      <c r="Z395" s="153"/>
      <c r="AA395" s="153"/>
      <c r="AB395" s="153"/>
      <c r="AC395" s="153"/>
      <c r="AD395" s="153"/>
      <c r="AE395" s="153"/>
      <c r="AF395" s="153"/>
      <c r="AG395" s="153"/>
      <c r="AH395" s="153"/>
      <c r="AI395" s="153"/>
      <c r="AJ395" s="153"/>
      <c r="AK395" s="153"/>
      <c r="AL395" s="153"/>
      <c r="AM395" s="153"/>
      <c r="AN395" s="153"/>
      <c r="AO395" s="153"/>
      <c r="AP395" s="153"/>
      <c r="AQ395" s="153"/>
      <c r="AR395" s="153"/>
    </row>
    <row r="396" spans="2:44" s="15" customFormat="1" ht="30.5" customHeight="1" x14ac:dyDescent="0.35">
      <c r="B396" s="537" t="s">
        <v>774</v>
      </c>
      <c r="D396" s="691" t="s">
        <v>775</v>
      </c>
      <c r="E396" s="691"/>
      <c r="F396" s="693" t="s">
        <v>776</v>
      </c>
      <c r="G396" s="693"/>
      <c r="H396" s="693"/>
      <c r="I396" s="693"/>
      <c r="Q396" s="155"/>
      <c r="R396" s="155"/>
      <c r="S396" s="155"/>
      <c r="T396" s="153"/>
      <c r="U396" s="153"/>
      <c r="V396" s="153"/>
      <c r="W396" s="153"/>
      <c r="X396" s="153"/>
      <c r="Y396" s="153"/>
      <c r="Z396" s="153"/>
      <c r="AA396" s="153"/>
      <c r="AB396" s="153"/>
      <c r="AC396" s="153"/>
      <c r="AD396" s="153"/>
      <c r="AE396" s="153"/>
      <c r="AF396" s="153"/>
      <c r="AG396" s="153"/>
      <c r="AH396" s="153"/>
      <c r="AI396" s="153"/>
      <c r="AJ396" s="153"/>
      <c r="AK396" s="153"/>
      <c r="AL396" s="153"/>
      <c r="AM396" s="153"/>
      <c r="AN396" s="153"/>
      <c r="AO396" s="153"/>
      <c r="AP396" s="153"/>
      <c r="AQ396" s="153"/>
      <c r="AR396" s="153"/>
    </row>
    <row r="397" spans="2:44" s="15" customFormat="1" ht="30.5" customHeight="1" x14ac:dyDescent="0.35">
      <c r="B397" s="537" t="s">
        <v>777</v>
      </c>
      <c r="D397" s="691" t="s">
        <v>778</v>
      </c>
      <c r="E397" s="691"/>
      <c r="F397" s="693" t="s">
        <v>779</v>
      </c>
      <c r="G397" s="693"/>
      <c r="H397" s="693"/>
      <c r="I397" s="693"/>
      <c r="Q397" s="155"/>
      <c r="R397" s="155"/>
      <c r="S397" s="155"/>
      <c r="T397" s="153"/>
      <c r="U397" s="153"/>
      <c r="V397" s="153"/>
      <c r="W397" s="153"/>
      <c r="X397" s="153"/>
      <c r="Y397" s="153"/>
      <c r="Z397" s="153"/>
      <c r="AA397" s="153"/>
      <c r="AB397" s="153"/>
      <c r="AC397" s="153"/>
      <c r="AD397" s="153"/>
      <c r="AE397" s="153"/>
      <c r="AF397" s="153"/>
      <c r="AG397" s="153"/>
      <c r="AH397" s="153"/>
      <c r="AI397" s="153"/>
      <c r="AJ397" s="153"/>
      <c r="AK397" s="153"/>
      <c r="AL397" s="153"/>
      <c r="AM397" s="153"/>
      <c r="AN397" s="153"/>
      <c r="AO397" s="153"/>
      <c r="AP397" s="153"/>
      <c r="AQ397" s="153"/>
      <c r="AR397" s="153"/>
    </row>
    <row r="398" spans="2:44" s="15" customFormat="1" ht="30.5" customHeight="1" x14ac:dyDescent="0.35">
      <c r="B398" s="537" t="s">
        <v>780</v>
      </c>
      <c r="D398" s="691" t="s">
        <v>781</v>
      </c>
      <c r="E398" s="691"/>
      <c r="F398" s="693" t="s">
        <v>782</v>
      </c>
      <c r="G398" s="693"/>
      <c r="H398" s="693"/>
      <c r="I398" s="693"/>
      <c r="Q398" s="155"/>
      <c r="R398" s="155"/>
      <c r="S398" s="155"/>
      <c r="T398" s="153"/>
      <c r="U398" s="153"/>
      <c r="V398" s="153"/>
      <c r="W398" s="153"/>
      <c r="X398" s="153"/>
      <c r="Y398" s="153"/>
      <c r="Z398" s="153"/>
      <c r="AA398" s="153"/>
      <c r="AB398" s="153"/>
      <c r="AC398" s="153"/>
      <c r="AD398" s="153"/>
      <c r="AE398" s="153"/>
      <c r="AF398" s="153"/>
      <c r="AG398" s="153"/>
      <c r="AH398" s="153"/>
      <c r="AI398" s="153"/>
      <c r="AJ398" s="153"/>
      <c r="AK398" s="153"/>
      <c r="AL398" s="153"/>
      <c r="AM398" s="153"/>
      <c r="AN398" s="153"/>
      <c r="AO398" s="153"/>
      <c r="AP398" s="153"/>
      <c r="AQ398" s="153"/>
      <c r="AR398" s="153"/>
    </row>
    <row r="399" spans="2:44" s="15" customFormat="1" ht="30.5" customHeight="1" x14ac:dyDescent="0.35">
      <c r="B399" s="537" t="s">
        <v>783</v>
      </c>
      <c r="D399" s="691" t="s">
        <v>784</v>
      </c>
      <c r="E399" s="691"/>
      <c r="F399" s="693" t="s">
        <v>785</v>
      </c>
      <c r="G399" s="693"/>
      <c r="H399" s="693"/>
      <c r="I399" s="693"/>
      <c r="Q399" s="155"/>
      <c r="R399" s="155"/>
      <c r="S399" s="155"/>
      <c r="T399" s="153"/>
      <c r="U399" s="153"/>
      <c r="V399" s="153"/>
      <c r="W399" s="153"/>
      <c r="X399" s="153"/>
      <c r="Y399" s="153"/>
      <c r="Z399" s="153"/>
      <c r="AA399" s="153"/>
      <c r="AB399" s="153"/>
      <c r="AC399" s="153"/>
      <c r="AD399" s="153"/>
      <c r="AE399" s="153"/>
      <c r="AF399" s="153"/>
      <c r="AG399" s="153"/>
      <c r="AH399" s="153"/>
      <c r="AI399" s="153"/>
      <c r="AJ399" s="153"/>
      <c r="AK399" s="153"/>
      <c r="AL399" s="153"/>
      <c r="AM399" s="153"/>
      <c r="AN399" s="153"/>
      <c r="AO399" s="153"/>
      <c r="AP399" s="153"/>
      <c r="AQ399" s="153"/>
      <c r="AR399" s="153"/>
    </row>
    <row r="400" spans="2:44" s="15" customFormat="1" ht="30.5" customHeight="1" x14ac:dyDescent="0.35">
      <c r="B400" s="537" t="s">
        <v>786</v>
      </c>
      <c r="D400" s="691" t="s">
        <v>787</v>
      </c>
      <c r="E400" s="691"/>
      <c r="F400" s="693" t="s">
        <v>788</v>
      </c>
      <c r="G400" s="693"/>
      <c r="H400" s="693"/>
      <c r="I400" s="693"/>
      <c r="Q400" s="155"/>
      <c r="R400" s="155"/>
      <c r="S400" s="155"/>
      <c r="T400" s="153"/>
      <c r="U400" s="153"/>
      <c r="V400" s="153"/>
      <c r="W400" s="153"/>
      <c r="X400" s="153"/>
      <c r="Y400" s="153"/>
      <c r="Z400" s="153"/>
      <c r="AA400" s="153"/>
      <c r="AB400" s="153"/>
      <c r="AC400" s="153"/>
      <c r="AD400" s="153"/>
      <c r="AE400" s="153"/>
      <c r="AF400" s="153"/>
      <c r="AG400" s="153"/>
      <c r="AH400" s="153"/>
      <c r="AI400" s="153"/>
      <c r="AJ400" s="153"/>
      <c r="AK400" s="153"/>
      <c r="AL400" s="153"/>
      <c r="AM400" s="153"/>
      <c r="AN400" s="153"/>
      <c r="AO400" s="153"/>
      <c r="AP400" s="153"/>
      <c r="AQ400" s="153"/>
      <c r="AR400" s="153"/>
    </row>
    <row r="401" spans="2:44" s="15" customFormat="1" ht="30.5" customHeight="1" x14ac:dyDescent="0.35">
      <c r="B401" s="537" t="s">
        <v>789</v>
      </c>
      <c r="D401" s="691" t="s">
        <v>790</v>
      </c>
      <c r="E401" s="691"/>
      <c r="F401" s="693" t="s">
        <v>791</v>
      </c>
      <c r="G401" s="693"/>
      <c r="H401" s="693"/>
      <c r="I401" s="693"/>
      <c r="Q401" s="155"/>
      <c r="R401" s="155"/>
      <c r="S401" s="155"/>
      <c r="T401" s="153"/>
      <c r="U401" s="153"/>
      <c r="V401" s="153"/>
      <c r="W401" s="153"/>
      <c r="X401" s="153"/>
      <c r="Y401" s="153"/>
      <c r="Z401" s="153"/>
      <c r="AA401" s="153"/>
      <c r="AB401" s="153"/>
      <c r="AC401" s="153"/>
      <c r="AD401" s="153"/>
      <c r="AE401" s="153"/>
      <c r="AF401" s="153"/>
      <c r="AG401" s="153"/>
      <c r="AH401" s="153"/>
      <c r="AI401" s="153"/>
      <c r="AJ401" s="153"/>
      <c r="AK401" s="153"/>
      <c r="AL401" s="153"/>
      <c r="AM401" s="153"/>
      <c r="AN401" s="153"/>
      <c r="AO401" s="153"/>
      <c r="AP401" s="153"/>
      <c r="AQ401" s="153"/>
      <c r="AR401" s="153"/>
    </row>
    <row r="402" spans="2:44" s="15" customFormat="1" ht="44" customHeight="1" x14ac:dyDescent="0.35">
      <c r="B402" s="537" t="s">
        <v>792</v>
      </c>
      <c r="D402" s="691" t="s">
        <v>793</v>
      </c>
      <c r="E402" s="691"/>
      <c r="F402" s="693" t="s">
        <v>794</v>
      </c>
      <c r="G402" s="693"/>
      <c r="H402" s="693"/>
      <c r="I402" s="693"/>
      <c r="Q402" s="155"/>
      <c r="R402" s="155"/>
      <c r="S402" s="155"/>
      <c r="T402" s="153"/>
      <c r="U402" s="153"/>
      <c r="V402" s="153"/>
      <c r="W402" s="153"/>
      <c r="X402" s="153"/>
      <c r="Y402" s="153"/>
      <c r="Z402" s="153"/>
      <c r="AA402" s="153"/>
      <c r="AB402" s="153"/>
      <c r="AC402" s="153"/>
      <c r="AD402" s="153"/>
      <c r="AE402" s="153"/>
      <c r="AF402" s="153"/>
      <c r="AG402" s="153"/>
      <c r="AH402" s="153"/>
      <c r="AI402" s="153"/>
      <c r="AJ402" s="153"/>
      <c r="AK402" s="153"/>
      <c r="AL402" s="153"/>
      <c r="AM402" s="153"/>
      <c r="AN402" s="153"/>
      <c r="AO402" s="153"/>
      <c r="AP402" s="153"/>
      <c r="AQ402" s="153"/>
      <c r="AR402" s="153"/>
    </row>
  </sheetData>
  <sheetProtection algorithmName="SHA-512" hashValue="7q5qYmk1nVYVSzNhZi54bBO8JoeQw8WgFRMQVbH6Rz8+qZ1u7K9gFUicdP7dI96Tqbb2iiT4Ke+VxjutaIFBGQ==" saltValue="odWiFNfnKiLUoQmA19UQ7A==" spinCount="100000" sheet="1" insertRows="0"/>
  <mergeCells count="51">
    <mergeCell ref="F387:I387"/>
    <mergeCell ref="F386:I386"/>
    <mergeCell ref="F385:I385"/>
    <mergeCell ref="F384:I384"/>
    <mergeCell ref="F402:I402"/>
    <mergeCell ref="F401:I401"/>
    <mergeCell ref="F400:I400"/>
    <mergeCell ref="F399:I399"/>
    <mergeCell ref="F398:I398"/>
    <mergeCell ref="F397:I397"/>
    <mergeCell ref="F396:I396"/>
    <mergeCell ref="F395:I395"/>
    <mergeCell ref="F394:I394"/>
    <mergeCell ref="F393:I393"/>
    <mergeCell ref="F392:I392"/>
    <mergeCell ref="F391:I391"/>
    <mergeCell ref="F390:I390"/>
    <mergeCell ref="F389:I389"/>
    <mergeCell ref="F388:I388"/>
    <mergeCell ref="D389:E389"/>
    <mergeCell ref="D388:E388"/>
    <mergeCell ref="D387:E387"/>
    <mergeCell ref="D386:E386"/>
    <mergeCell ref="D385:E385"/>
    <mergeCell ref="D402:E402"/>
    <mergeCell ref="D401:E401"/>
    <mergeCell ref="D400:E400"/>
    <mergeCell ref="D399:E399"/>
    <mergeCell ref="D398:E398"/>
    <mergeCell ref="D397:E397"/>
    <mergeCell ref="D396:E396"/>
    <mergeCell ref="D395:E395"/>
    <mergeCell ref="D394:E394"/>
    <mergeCell ref="D393:E393"/>
    <mergeCell ref="D392:E392"/>
    <mergeCell ref="D391:E391"/>
    <mergeCell ref="D390:E390"/>
    <mergeCell ref="A172:B172"/>
    <mergeCell ref="A199:B200"/>
    <mergeCell ref="A152:B153"/>
    <mergeCell ref="D5:I5"/>
    <mergeCell ref="D384:E384"/>
    <mergeCell ref="A244:B245"/>
    <mergeCell ref="A270:B271"/>
    <mergeCell ref="A285:B286"/>
    <mergeCell ref="A226:B227"/>
    <mergeCell ref="D4:I4"/>
    <mergeCell ref="A8:B8"/>
    <mergeCell ref="A34:B34"/>
    <mergeCell ref="A49:B50"/>
    <mergeCell ref="A105:B105"/>
  </mergeCells>
  <phoneticPr fontId="2" type="noConversion"/>
  <hyperlinks>
    <hyperlink ref="F401" r:id="rId1" xr:uid="{4B841B56-021C-44C9-B6AC-4CEF22990A8E}"/>
    <hyperlink ref="F400" r:id="rId2" xr:uid="{E2629294-49E7-44E5-837B-7ECA8D143A0D}"/>
    <hyperlink ref="F402" r:id="rId3" xr:uid="{705B1FC0-0C4D-4237-81A4-E8C6DD229A7E}"/>
    <hyperlink ref="F399" r:id="rId4" xr:uid="{776076FD-D42C-4FC3-BFDA-5282F8CDAE2B}"/>
    <hyperlink ref="F398" r:id="rId5" xr:uid="{31574383-A416-4EB9-9EF8-564DDE90E4B2}"/>
    <hyperlink ref="F397" r:id="rId6" xr:uid="{2563CFAD-92F7-4D5F-AFB9-A54C05A1D060}"/>
    <hyperlink ref="F396" r:id="rId7" xr:uid="{E626E42F-6AD7-42F6-B5D9-701F6A88C111}"/>
    <hyperlink ref="F395" r:id="rId8" xr:uid="{EE107F21-C140-457E-BBF0-72A013137624}"/>
    <hyperlink ref="F394" r:id="rId9" xr:uid="{51D900D5-D13E-4A34-9339-F45D818C60A4}"/>
    <hyperlink ref="F393" r:id="rId10" xr:uid="{624927EA-826A-4A9C-B5CD-3E83E2D34420}"/>
    <hyperlink ref="F392" r:id="rId11" xr:uid="{FDDBCBA1-F6D9-4337-AAF0-F6B5966DED97}"/>
    <hyperlink ref="F391" r:id="rId12" xr:uid="{C2924543-F818-476E-B92F-B5E58505D9DE}"/>
    <hyperlink ref="F390" r:id="rId13" xr:uid="{E668E254-4D91-47E0-AF4E-166AC98824EB}"/>
    <hyperlink ref="F389" r:id="rId14" xr:uid="{2659B937-E4DC-499E-888B-18BB25A72A10}"/>
    <hyperlink ref="F388" r:id="rId15" xr:uid="{2C20BBD5-2D17-4346-B2AA-58F268AC78A5}"/>
    <hyperlink ref="F387" r:id="rId16" xr:uid="{013B034F-C27F-4C5E-BBE0-62432B188B7D}"/>
    <hyperlink ref="F386" r:id="rId17" location="lizenz" xr:uid="{573E386E-0858-4C9B-9CFC-8D30DFE9B748}"/>
  </hyperlinks>
  <pageMargins left="0.7" right="0.7" top="0.78740157499999996" bottom="0.78740157499999996" header="0.3" footer="0.3"/>
  <pageSetup paperSize="9" orientation="portrait" r:id="rId18"/>
  <tableParts count="13">
    <tablePart r:id="rId19"/>
    <tablePart r:id="rId20"/>
    <tablePart r:id="rId21"/>
    <tablePart r:id="rId22"/>
    <tablePart r:id="rId23"/>
    <tablePart r:id="rId24"/>
    <tablePart r:id="rId25"/>
    <tablePart r:id="rId26"/>
    <tablePart r:id="rId27"/>
    <tablePart r:id="rId28"/>
    <tablePart r:id="rId29"/>
    <tablePart r:id="rId30"/>
    <tablePart r:id="rId3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2f30deb-a403-47b6-8821-8f8c91cf3f76">
      <Terms xmlns="http://schemas.microsoft.com/office/infopath/2007/PartnerControls"/>
    </lcf76f155ced4ddcb4097134ff3c332f>
    <TaxCatchAll xmlns="59548bc3-7d0d-4161-89bf-d79247fa0c7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D5EE8BEA53DC742911E9FD69AE72BC6" ma:contentTypeVersion="9" ma:contentTypeDescription="Ein neues Dokument erstellen." ma:contentTypeScope="" ma:versionID="4734ebd06775c409214ac9f5b5c42cbc">
  <xsd:schema xmlns:xsd="http://www.w3.org/2001/XMLSchema" xmlns:xs="http://www.w3.org/2001/XMLSchema" xmlns:p="http://schemas.microsoft.com/office/2006/metadata/properties" xmlns:ns2="32f30deb-a403-47b6-8821-8f8c91cf3f76" xmlns:ns3="59548bc3-7d0d-4161-89bf-d79247fa0c7d" targetNamespace="http://schemas.microsoft.com/office/2006/metadata/properties" ma:root="true" ma:fieldsID="5a98de1a417511f8ac4024d959a99fcc" ns2:_="" ns3:_="">
    <xsd:import namespace="32f30deb-a403-47b6-8821-8f8c91cf3f76"/>
    <xsd:import namespace="59548bc3-7d0d-4161-89bf-d79247fa0c7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f30deb-a403-47b6-8821-8f8c91cf3f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3ad06623-7146-4c0f-9564-187aa39e4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548bc3-7d0d-4161-89bf-d79247fa0c7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a02449b-a876-48ee-a58a-72f216c6b50a}" ma:internalName="TaxCatchAll" ma:showField="CatchAllData" ma:web="59548bc3-7d0d-4161-89bf-d79247fa0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E9C56D-C852-42B6-990A-2436B8AA97B6}">
  <ds:schemaRefs>
    <ds:schemaRef ds:uri="http://purl.org/dc/terms/"/>
    <ds:schemaRef ds:uri="http://schemas.microsoft.com/office/2006/documentManagement/types"/>
    <ds:schemaRef ds:uri="http://purl.org/dc/dcmitype/"/>
    <ds:schemaRef ds:uri="http://schemas.microsoft.com/office/2006/metadata/properties"/>
    <ds:schemaRef ds:uri="59548bc3-7d0d-4161-89bf-d79247fa0c7d"/>
    <ds:schemaRef ds:uri="http://purl.org/dc/elements/1.1/"/>
    <ds:schemaRef ds:uri="http://www.w3.org/XML/1998/namespace"/>
    <ds:schemaRef ds:uri="32f30deb-a403-47b6-8821-8f8c91cf3f76"/>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132AB611-9D10-4883-B2DA-BAB9E437A4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f30deb-a403-47b6-8821-8f8c91cf3f76"/>
    <ds:schemaRef ds:uri="59548bc3-7d0d-4161-89bf-d79247fa0c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B6E4EE-2785-4E55-9F4F-F4CE655498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19</vt:i4>
      </vt:variant>
    </vt:vector>
  </HeadingPairs>
  <TitlesOfParts>
    <vt:vector size="30" baseType="lpstr">
      <vt:lpstr>Anleitung</vt:lpstr>
      <vt:lpstr>Stammdaten</vt:lpstr>
      <vt:lpstr>Gliederung der Bilanz</vt:lpstr>
      <vt:lpstr>Daten KlimaBilanzKultur</vt:lpstr>
      <vt:lpstr>Daten KlimaBilanzKultur+</vt:lpstr>
      <vt:lpstr>Daten Beyond Carbon</vt:lpstr>
      <vt:lpstr>Ergebnisse</vt:lpstr>
      <vt:lpstr>Zertifikat</vt:lpstr>
      <vt:lpstr>Emissionsfaktoren</vt:lpstr>
      <vt:lpstr>EF_Änderungen</vt:lpstr>
      <vt:lpstr>Dropdowns</vt:lpstr>
      <vt:lpstr>Bez_Anreise_der_Besuchenden</vt:lpstr>
      <vt:lpstr>Bez_Druck_und_Werbematerialien</vt:lpstr>
      <vt:lpstr>Bez_Externe</vt:lpstr>
      <vt:lpstr>Bez_Fuhrpark</vt:lpstr>
      <vt:lpstr>Bez_Geschäftsreisen</vt:lpstr>
      <vt:lpstr>Bez_IT</vt:lpstr>
      <vt:lpstr>Bez_Kühl_und_Kältemittel</vt:lpstr>
      <vt:lpstr>Bez_Medien</vt:lpstr>
      <vt:lpstr>Bez_Papier</vt:lpstr>
      <vt:lpstr>Bez_Pendeln</vt:lpstr>
      <vt:lpstr>Bez_Relevante_Stoffströme</vt:lpstr>
      <vt:lpstr>Bez_Strom</vt:lpstr>
      <vt:lpstr>Bez_Verpackung</vt:lpstr>
      <vt:lpstr>Bez_Warentransporte</vt:lpstr>
      <vt:lpstr>Bez_Wärme</vt:lpstr>
      <vt:lpstr>Bez_Wasser</vt:lpstr>
      <vt:lpstr>DD_Thema</vt:lpstr>
      <vt:lpstr>DD_Thema_2</vt:lpstr>
      <vt:lpstr>Zertifikat!Druckbereich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CO2-Kulturrechner_v3.1.0_2026</dc:title>
  <dc:creator>Georg Smolka</dc:creator>
  <cp:lastModifiedBy>Georg Smolka</cp:lastModifiedBy>
  <cp:lastPrinted>2025-11-27T14:57:56Z</cp:lastPrinted>
  <dcterms:created xsi:type="dcterms:W3CDTF">2023-05-03T08:10:34Z</dcterms:created>
  <dcterms:modified xsi:type="dcterms:W3CDTF">2026-02-03T15:28:04Z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0x0101002D5EE8BEA53DC742911E9FD69AE72BC6</vt:lpwstr>
  </property>
  <property fmtid="{D5CDD505-2E9C-101B-9397-08002B2CF9AE}" pid="3" name="MediaServiceImageTags">
    <vt:lpwstr/>
  </property>
</Properties>
</file>